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RCCNxgiPo0SMUasFAfplnJraRmupJxxAhCosS7mMu7oAMzrOcQQAyICHhokHWdLCIFZCLo0zQvKrMNIribePfA==" workbookSaltValue="exx+6XGfrfOAZh9tkXEz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S32" i="20"/>
  <c r="AQ32" i="21"/>
  <c r="AJ32" i="20"/>
  <c r="G30" i="14"/>
  <c r="G23" i="14"/>
  <c r="U18" i="11"/>
  <c r="AX32" i="20"/>
  <c r="Y32" i="20"/>
  <c r="L32" i="20"/>
  <c r="AG32" i="20"/>
  <c r="H32" i="20"/>
  <c r="T32" i="21"/>
  <c r="F32" i="20"/>
  <c r="AF32" i="20"/>
  <c r="G26" i="14"/>
  <c r="K32" i="20"/>
  <c r="O17" i="11"/>
  <c r="BF17" i="8" l="1"/>
  <c r="BF16" i="8"/>
  <c r="F14" i="7"/>
  <c r="BD9" i="8"/>
  <c r="T31" i="8"/>
  <c r="BH11" i="16"/>
  <c r="P18" i="17"/>
  <c r="BJ21" i="11"/>
  <c r="BG9" i="11"/>
  <c r="AP18" i="20"/>
  <c r="BU13" i="17"/>
  <c r="BF12" i="11"/>
  <c r="Q16" i="17"/>
  <c r="X21" i="20"/>
  <c r="L16" i="2"/>
  <c r="T9" i="11"/>
  <c r="BH16" i="11"/>
  <c r="BF29" i="11"/>
  <c r="BF22" i="11"/>
  <c r="BM13" i="11"/>
  <c r="BL11" i="11"/>
  <c r="BL21" i="11"/>
  <c r="T18" i="16"/>
  <c r="BG21" i="11"/>
  <c r="BV28" i="16"/>
  <c r="BW13" i="20"/>
  <c r="BU29" i="17"/>
  <c r="BW11" i="20"/>
  <c r="BW28" i="20"/>
  <c r="S11" i="17"/>
  <c r="S25" i="17"/>
  <c r="P16" i="17"/>
  <c r="BH25" i="16"/>
  <c r="BJ10" i="11"/>
  <c r="BF16" i="11"/>
  <c r="BI22" i="11"/>
  <c r="L10" i="2"/>
  <c r="L18" i="2"/>
  <c r="X16" i="16"/>
  <c r="X23" i="16" s="1"/>
  <c r="S20" i="14"/>
  <c r="V20" i="14" s="1"/>
  <c r="BK19" i="11"/>
  <c r="BI16" i="11"/>
  <c r="R18" i="20"/>
  <c r="R23" i="20" s="1"/>
  <c r="BK18" i="11"/>
  <c r="BU25" i="17"/>
  <c r="BV13" i="16"/>
  <c r="BV21" i="16"/>
  <c r="BV11" i="16"/>
  <c r="S21" i="17"/>
  <c r="BV20" i="16"/>
  <c r="AZ11" i="11"/>
  <c r="BK20" i="11"/>
  <c r="BL22" i="11"/>
  <c r="BK10" i="11"/>
  <c r="L9" i="2"/>
  <c r="V25" i="16"/>
  <c r="R13" i="17"/>
  <c r="P13" i="14"/>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J23" i="11" s="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6" i="12"/>
  <c r="K16" i="12"/>
  <c r="I9" i="12"/>
  <c r="K9" i="12"/>
  <c r="AZ14" i="11"/>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L32" i="21"/>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F32" i="17"/>
  <c r="AY32" i="16"/>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<sst xmlns="http://schemas.openxmlformats.org/spreadsheetml/2006/main" count="2654" uniqueCount="1185">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</sst>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1184</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tWtuIMDvt+JBHi2RHDzLGs44XYUMtGSb0QAPOEEiJA+dPzAf7k5HmAroghkiwno/lAD+17WrTzhfmA4uGWUUw==" saltValue="jgWdx7B3oUjOvNzr1AFI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33.326693227091631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68</v>
      </c>
      <c r="D10" s="239">
        <f>IF(ISNUMBER(Datos!I10),Datos!I10," - ")</f>
        <v>68</v>
      </c>
      <c r="E10" s="240">
        <f>IF(ISNUMBER(Datos!J10),Datos!J10," - ")</f>
        <v>28</v>
      </c>
      <c r="F10" s="240">
        <f>IF(ISNUMBER(Datos!K10),Datos!K10," - ")</f>
        <v>27</v>
      </c>
      <c r="G10" s="1390" t="str">
        <f>IF(Datos!E10&lt;&gt;"",Datos!E10,Datos!D10)</f>
        <v>37</v>
      </c>
      <c r="H10" s="241">
        <f>IF(ISNUMBER(Datos!L10),Datos!L10," - ")</f>
        <v>69</v>
      </c>
      <c r="I10" s="1400" t="str">
        <f>IF(ISNUMBER(Datos!AS10/Datos!BM10),Datos!AS10/Datos!BM10," - ")</f>
        <v xml:space="preserve"> - </v>
      </c>
      <c r="J10" s="1401">
        <f>IF(ISNUMBER(Datos!BY10/Datos!CN10),Datos!BY10/Datos!CN10," - ")</f>
        <v>0</v>
      </c>
      <c r="K10" s="244">
        <f t="shared" ref="K10:K13" si="1">IF(ISNUMBER((E10-F10)/C10),(E10-F10)/C10," - ")</f>
        <v>1.4705882352941176E-2</v>
      </c>
      <c r="L10" s="1402">
        <f>IF(ISNUMBER(NºAsuntos!I10/NºAsuntos!G10),(NºAsuntos!I10/NºAsuntos!G10)*11," - ")</f>
        <v>28.111111111111107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68</v>
      </c>
      <c r="D14" s="1407">
        <f>SUBTOTAL(9,D9:D13)</f>
        <v>68</v>
      </c>
      <c r="E14" s="1408">
        <f>SUBTOTAL(9,E9:E13)</f>
        <v>28</v>
      </c>
      <c r="F14" s="1409">
        <f>SUBTOTAL(9,F9:F13)</f>
        <v>27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2973</v>
      </c>
      <c r="D16" s="239">
        <f>IF(ISNUMBER(IF(D_I="SI",Datos!I16,Datos!I16+Datos!AC16)),IF(D_I="SI",Datos!I16,Datos!I16+Datos!AC16)," - ")</f>
        <v>2973</v>
      </c>
      <c r="E16" s="240">
        <f>IF(ISNUMBER(IF(D_I="SI",Datos!J16,Datos!J16+Datos!AD16)),IF(D_I="SI",Datos!J16,Datos!J16+Datos!AD16)," - ")</f>
        <v>2703</v>
      </c>
      <c r="F16" s="240">
        <f>IF(ISNUMBER(IF(D_I="SI",Datos!K16,Datos!K16+Datos!AE16)),IF(D_I="SI",Datos!K16,Datos!K16+Datos!AE16)," - ")</f>
        <v>2824</v>
      </c>
      <c r="G16" s="1390" t="str">
        <f>IF(Datos!E16&lt;&gt;"",Datos!E16,Datos!D16)</f>
        <v>03</v>
      </c>
      <c r="H16" s="241">
        <f>IF(ISNUMBER(IF(D_I="SI",Datos!L16,Datos!L16+Datos!AF16)),IF(D_I="SI",Datos!L16,Datos!L16+Datos!AF16)," - ")</f>
        <v>2852</v>
      </c>
      <c r="I16" s="1400" t="str">
        <f>IF(ISNUMBER(Datos!AS16/Datos!BM16),Datos!AS16/Datos!BM16," - ")</f>
        <v xml:space="preserve"> - </v>
      </c>
      <c r="J16" s="1401">
        <f>IF(ISNUMBER(Datos!BY16/Datos!CN16),Datos!BY16/Datos!CN16," - ")</f>
        <v>0</v>
      </c>
      <c r="K16" s="244">
        <f t="shared" ref="K16:K22" si="3">IF(ISNUMBER((E16-F16)/C16),(E16-F16)/C16," - ")</f>
        <v>-4.0699630003363609E-2</v>
      </c>
      <c r="L16" s="1402">
        <f>IF(ISNUMBER(NºAsuntos!I16/NºAsuntos!G16),(NºAsuntos!I16/NºAsuntos!G16)*11," - ")</f>
        <v>11.109065155807365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10</v>
      </c>
      <c r="D17" s="239">
        <f>IF(ISNUMBER(IF(D_I="SI",Datos!I17,Datos!I17+Datos!AC17)),IF(D_I="SI",Datos!I17,Datos!I17+Datos!AC17)," - ")</f>
        <v>10</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10</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151</v>
      </c>
      <c r="D18" s="239">
        <f>IF(ISNUMBER(IF(D_I="SI",Datos!I18,Datos!I18+Datos!AC18)),IF(D_I="SI",Datos!I18,Datos!I18+Datos!AC18)," - ")</f>
        <v>151</v>
      </c>
      <c r="E18" s="240">
        <f>IF(ISNUMBER(IF(D_I="SI",Datos!J18,Datos!J18+Datos!AD18)),IF(D_I="SI",Datos!J18,Datos!J18+Datos!AD18)," - ")</f>
        <v>291</v>
      </c>
      <c r="F18" s="240">
        <f>IF(ISNUMBER(IF(D_I="SI",Datos!K18,Datos!K18+Datos!AE18)),IF(D_I="SI",Datos!K18,Datos!K18+Datos!AE18)," - ")</f>
        <v>256</v>
      </c>
      <c r="G18" s="1390" t="str">
        <f>IF(Datos!E18&lt;&gt;"",Datos!E18,Datos!D18)</f>
        <v>37</v>
      </c>
      <c r="H18" s="241">
        <f>IF(ISNUMBER(IF(D_I="SI",Datos!L18,Datos!L18+Datos!AF18)),IF(D_I="SI",Datos!L18,Datos!L18+Datos!AF18)," - ")</f>
        <v>186</v>
      </c>
      <c r="I18" s="1400" t="str">
        <f>IF(ISNUMBER(Datos!AS18/Datos!BM18),Datos!AS18/Datos!BM18," - ")</f>
        <v xml:space="preserve"> - </v>
      </c>
      <c r="J18" s="1401" t="str">
        <f>IF(ISNUMBER((Datos!BY18+Datos!BZ18)/Datos!CN18),(Datos!BY18+Datos!BZ18)/Datos!CN18," - ")</f>
        <v xml:space="preserve"> - </v>
      </c>
      <c r="K18" s="244">
        <f t="shared" si="3"/>
        <v>0.23178807947019867</v>
      </c>
      <c r="L18" s="1402">
        <f>IF(ISNUMBER(NºAsuntos!I18/NºAsuntos!G18),(NºAsuntos!I18/NºAsuntos!G18)*11," - ")</f>
        <v>7.9921875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3134</v>
      </c>
      <c r="D23" s="1407">
        <f>SUBTOTAL(9,D16:D22)</f>
        <v>3134</v>
      </c>
      <c r="E23" s="1408">
        <f>SUBTOTAL(9,E16:E22)</f>
        <v>2994</v>
      </c>
      <c r="F23" s="1408">
        <f>SUBTOTAL(9,F16:F22)</f>
        <v>3080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3202</v>
      </c>
      <c r="D31" s="1435">
        <f>SUBTOTAL(9,D9:D30)</f>
        <v>3202</v>
      </c>
      <c r="E31" s="1436">
        <f>SUBTOTAL(9,E9:E30)</f>
        <v>3022</v>
      </c>
      <c r="F31" s="1436">
        <f>SUBTOTAL(9,F9:F30)</f>
        <v>3107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2T6B2rfcDFDLon7ipzd/yEUvGR0a6vwa2/b78jlTIuIt61VGH6VvUObPW7AeWMxKRPbxr4cQhOMldP9JWFu/cA==" saltValue="yowHPaOQ/IVH/9N7JAfQS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skJLRofFPXGahbg937VyiJC8j7F998elBBZXwYTG7FPSROUJrVXphRfLhgddjtIzhBoiAS0j7RMyNsT5PGH4Q==" saltValue="w5uZsCrZl8O0cAn6jTge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8326</v>
      </c>
      <c r="J9" s="194">
        <v>2522</v>
      </c>
      <c r="K9" s="194">
        <v>2637</v>
      </c>
      <c r="L9" s="194">
        <v>8211</v>
      </c>
      <c r="M9" s="194">
        <v>437</v>
      </c>
      <c r="N9" s="194">
        <v>1205</v>
      </c>
      <c r="O9" s="194">
        <v>686</v>
      </c>
      <c r="P9" s="194">
        <v>502</v>
      </c>
      <c r="Q9" s="194">
        <v>286</v>
      </c>
      <c r="R9" s="194">
        <v>9494</v>
      </c>
      <c r="S9" s="194">
        <v>6841</v>
      </c>
      <c r="T9" s="194">
        <v>2058</v>
      </c>
      <c r="U9" s="194">
        <v>1757</v>
      </c>
      <c r="V9" s="194">
        <v>7142</v>
      </c>
      <c r="W9" s="194">
        <v>393</v>
      </c>
      <c r="X9" s="201">
        <v>787</v>
      </c>
      <c r="Y9" s="204">
        <v>196</v>
      </c>
      <c r="Z9" s="194">
        <v>82</v>
      </c>
      <c r="AA9" s="194">
        <v>124</v>
      </c>
      <c r="AB9" s="194">
        <v>154</v>
      </c>
      <c r="AC9" s="194">
        <v>0</v>
      </c>
      <c r="AD9" s="194">
        <v>0</v>
      </c>
      <c r="AE9" s="194">
        <v>0</v>
      </c>
      <c r="AF9" s="201">
        <v>0</v>
      </c>
      <c r="AG9" s="204">
        <v>158</v>
      </c>
      <c r="AH9" s="194">
        <v>89</v>
      </c>
      <c r="AI9" s="194">
        <v>79</v>
      </c>
      <c r="AJ9" s="205">
        <v>168</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6999</v>
      </c>
      <c r="AZ9" s="133">
        <f>IF(ISNUMBER(IF(J_V="SI",T9,T9+AH9)),IF(J_V="SI",T9,T9+AH9)," - ")</f>
        <v>2147</v>
      </c>
      <c r="BA9" s="134">
        <f>IF(ISNUMBER(IF(J_V="SI",U9,U9+AI9)),IF(J_V="SI",U9,U9+AI9)," - ")</f>
        <v>1836</v>
      </c>
      <c r="BB9" s="134">
        <f>IF(ISNUMBER(IF(J_V="SI",V9,V9+AJ9)),IF(J_V="SI",V9,V9+AJ9)," - ")</f>
        <v>7310</v>
      </c>
      <c r="BC9" s="135">
        <f>IF(ISNUMBER(X9),X9," - ")</f>
        <v>787</v>
      </c>
      <c r="BD9" s="136">
        <f>IF(ISNUMBER(BA9/AZ9),BA9/AZ9," - ")</f>
        <v>0.85514671634839312</v>
      </c>
      <c r="BE9" s="137">
        <f>IF(ISNUMBER(BB9/BA9),BB9/BA9, " - ")</f>
        <v>3.9814814814814814</v>
      </c>
      <c r="BF9" s="137">
        <f>IF(ISNUMBER(BC9/BA9),BC9/BA9, " - ")</f>
        <v>0.4286492374727669</v>
      </c>
      <c r="BG9" s="209">
        <f>IF(ISNUMBER((AY9+AZ9)/BA9),(AY9+AZ9)/BA9," - ")</f>
        <v>4.9814814814814818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68</v>
      </c>
      <c r="J10" s="194">
        <v>28</v>
      </c>
      <c r="K10" s="194">
        <v>27</v>
      </c>
      <c r="L10" s="194">
        <v>69</v>
      </c>
      <c r="M10" s="194">
        <v>11</v>
      </c>
      <c r="N10" s="194">
        <v>7</v>
      </c>
      <c r="O10" s="194">
        <v>12</v>
      </c>
      <c r="P10" s="194">
        <v>3</v>
      </c>
      <c r="Q10" s="194">
        <v>3</v>
      </c>
      <c r="R10" s="194">
        <v>49</v>
      </c>
      <c r="S10" s="194">
        <v>83</v>
      </c>
      <c r="T10" s="194">
        <v>21</v>
      </c>
      <c r="U10" s="194">
        <v>23</v>
      </c>
      <c r="V10" s="194">
        <v>81</v>
      </c>
      <c r="W10" s="194">
        <v>9</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83</v>
      </c>
      <c r="AZ10" s="139">
        <f t="shared" si="0"/>
        <v>21</v>
      </c>
      <c r="BA10" s="139">
        <f t="shared" si="0"/>
        <v>23</v>
      </c>
      <c r="BB10" s="139">
        <f t="shared" si="0"/>
        <v>81</v>
      </c>
      <c r="BC10" s="135">
        <f t="shared" si="0"/>
        <v>9</v>
      </c>
      <c r="BD10" s="136">
        <f>IF(ISNUMBER(BA10/AZ10),BA10/AZ10," - ")</f>
        <v>1.0952380952380953</v>
      </c>
      <c r="BE10" s="137">
        <f>IF(ISNUMBER(BB10/BA10),BB10/BA10, " - ")</f>
        <v>3.5217391304347827</v>
      </c>
      <c r="BF10" s="137">
        <f>IF(ISNUMBER(BC10/BA10),BC10/BA10, " - ")</f>
        <v>0.39130434782608697</v>
      </c>
      <c r="BG10" s="209">
        <f>IF(ISNUMBER((AY10+AZ10)/BA10),(AY10+AZ10)/BA10," - ")</f>
        <v>4.5217391304347823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1073</v>
      </c>
      <c r="J11" s="196" t="s">
        <v>1065</v>
      </c>
      <c r="K11" s="196" t="s">
        <v>1127</v>
      </c>
      <c r="L11" s="196" t="s">
        <v>1078</v>
      </c>
      <c r="M11" s="196" t="s">
        <v>646</v>
      </c>
      <c r="N11" s="196" t="s">
        <v>660</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1066</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v>
      </c>
      <c r="J12" s="196">
        <v>0</v>
      </c>
      <c r="K12" s="196">
        <v>0</v>
      </c>
      <c r="L12" s="196">
        <v>6</v>
      </c>
      <c r="M12" s="196">
        <v>0</v>
      </c>
      <c r="N12" s="196">
        <v>1</v>
      </c>
      <c r="O12" s="194">
        <v>0</v>
      </c>
      <c r="P12" s="196">
        <v>0</v>
      </c>
      <c r="Q12" s="196">
        <v>12</v>
      </c>
      <c r="R12" s="196">
        <v>638</v>
      </c>
      <c r="S12" s="196">
        <v>14</v>
      </c>
      <c r="T12" s="196">
        <v>0</v>
      </c>
      <c r="U12" s="196">
        <v>1</v>
      </c>
      <c r="V12" s="196">
        <v>13</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1067</v>
      </c>
      <c r="AT12" s="216"/>
      <c r="AU12" s="215"/>
      <c r="AV12" s="216"/>
      <c r="AW12" s="215"/>
      <c r="AX12" s="216"/>
      <c r="AY12" s="136">
        <f t="shared" si="1"/>
        <v>14</v>
      </c>
      <c r="AZ12" s="137">
        <f t="shared" si="1"/>
        <v>0</v>
      </c>
      <c r="BA12" s="137">
        <f t="shared" si="1"/>
        <v>1</v>
      </c>
      <c r="BB12" s="137">
        <f t="shared" si="1"/>
        <v>13</v>
      </c>
      <c r="BC12" s="135">
        <f>IF(ISNUMBER(X12),X12," - ")</f>
        <v>0</v>
      </c>
      <c r="BD12" s="136" t="str">
        <f t="shared" si="2"/>
        <v xml:space="preserve"> - </v>
      </c>
      <c r="BE12" s="137">
        <f t="shared" si="3"/>
        <v>13</v>
      </c>
      <c r="BF12" s="137">
        <f t="shared" si="4"/>
        <v>0</v>
      </c>
      <c r="BG12" s="209">
        <f t="shared" si="5"/>
        <v>14</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8400</v>
      </c>
      <c r="J14" s="197">
        <f t="shared" si="7"/>
        <v>2550</v>
      </c>
      <c r="K14" s="197">
        <f t="shared" si="7"/>
        <v>2664</v>
      </c>
      <c r="L14" s="197">
        <f t="shared" si="7"/>
        <v>8286</v>
      </c>
      <c r="M14" s="197">
        <f t="shared" si="7"/>
        <v>448</v>
      </c>
      <c r="N14" s="197">
        <f t="shared" si="7"/>
        <v>1213</v>
      </c>
      <c r="O14" s="197">
        <f t="shared" si="7"/>
        <v>698</v>
      </c>
      <c r="P14" s="197">
        <f t="shared" si="7"/>
        <v>505</v>
      </c>
      <c r="Q14" s="197">
        <f t="shared" si="7"/>
        <v>301</v>
      </c>
      <c r="R14" s="197">
        <f t="shared" si="7"/>
        <v>10181</v>
      </c>
      <c r="S14" s="197">
        <f t="shared" si="7"/>
        <v>6938</v>
      </c>
      <c r="T14" s="197">
        <f t="shared" si="7"/>
        <v>2079</v>
      </c>
      <c r="U14" s="197">
        <f t="shared" si="7"/>
        <v>1781</v>
      </c>
      <c r="V14" s="197">
        <f t="shared" si="7"/>
        <v>7236</v>
      </c>
      <c r="W14" s="197">
        <f t="shared" si="7"/>
        <v>402</v>
      </c>
      <c r="X14" s="197">
        <f t="shared" si="7"/>
        <v>798</v>
      </c>
      <c r="Y14" s="197">
        <f t="shared" si="7"/>
        <v>196</v>
      </c>
      <c r="Z14" s="197">
        <f t="shared" si="7"/>
        <v>82</v>
      </c>
      <c r="AA14" s="197">
        <f t="shared" si="7"/>
        <v>124</v>
      </c>
      <c r="AB14" s="197">
        <f t="shared" si="7"/>
        <v>154</v>
      </c>
      <c r="AC14" s="197">
        <f t="shared" si="7"/>
        <v>0</v>
      </c>
      <c r="AD14" s="197">
        <f t="shared" si="7"/>
        <v>0</v>
      </c>
      <c r="AE14" s="197">
        <f t="shared" si="7"/>
        <v>0</v>
      </c>
      <c r="AF14" s="197">
        <f>SUBTOTAL(9,AF9:AF13)</f>
        <v>0</v>
      </c>
      <c r="AG14" s="197">
        <f t="shared" ref="AG14:AT14" si="8">SUBTOTAL(9,AG8:AG13)</f>
        <v>158</v>
      </c>
      <c r="AH14" s="197">
        <f t="shared" si="8"/>
        <v>89</v>
      </c>
      <c r="AI14" s="197">
        <f t="shared" si="8"/>
        <v>79</v>
      </c>
      <c r="AJ14" s="197">
        <f t="shared" si="8"/>
        <v>168</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7096</v>
      </c>
      <c r="AZ14" s="197">
        <f>SUBTOTAL(9,AZ8:AZ13)</f>
        <v>2168</v>
      </c>
      <c r="BA14" s="197">
        <f>SUBTOTAL(9,BA8:BA13)</f>
        <v>1860</v>
      </c>
      <c r="BB14" s="197">
        <f>SUBTOTAL(9,BB8:BB13)</f>
        <v>7404</v>
      </c>
      <c r="BC14" s="197">
        <f>SUBTOTAL(9,BC8:BC13)</f>
        <v>796</v>
      </c>
      <c r="BD14" s="219">
        <f>IF(ISNUMBER(BA14/AZ14),BA14/AZ14," - ")</f>
        <v>0.85793357933579339</v>
      </c>
      <c r="BE14" s="220">
        <f>IF(ISNUMBER(BB14/BA14),BB14/BA14, " - ")</f>
        <v>3.9806451612903224</v>
      </c>
      <c r="BF14" s="220">
        <f>IF(ISNUMBER(BC14/BA14),BC14/BA14, " - ")</f>
        <v>0.42795698924731185</v>
      </c>
      <c r="BG14" s="221">
        <f>IF(ISNUMBER((AY14+AZ14)/BA14),(AY14+AZ14)/BA14," - ")</f>
        <v>4.9806451612903224</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2973</v>
      </c>
      <c r="J16" s="196">
        <v>2703</v>
      </c>
      <c r="K16" s="196">
        <v>2824</v>
      </c>
      <c r="L16" s="196">
        <v>2852</v>
      </c>
      <c r="M16" s="196">
        <v>345</v>
      </c>
      <c r="N16" s="196">
        <v>1785</v>
      </c>
      <c r="O16" s="194">
        <v>12</v>
      </c>
      <c r="P16" s="196">
        <v>76</v>
      </c>
      <c r="Q16" s="196">
        <v>78</v>
      </c>
      <c r="R16" s="196">
        <v>328</v>
      </c>
      <c r="S16" s="196">
        <v>3010</v>
      </c>
      <c r="T16" s="196">
        <v>2617</v>
      </c>
      <c r="U16" s="196">
        <v>2535</v>
      </c>
      <c r="V16" s="196">
        <v>3092</v>
      </c>
      <c r="W16" s="196">
        <v>277</v>
      </c>
      <c r="X16" s="202">
        <v>1786</v>
      </c>
      <c r="Y16" s="215">
        <v>0</v>
      </c>
      <c r="Z16" s="196">
        <v>0</v>
      </c>
      <c r="AA16" s="196">
        <v>0</v>
      </c>
      <c r="AB16" s="196">
        <v>0</v>
      </c>
      <c r="AC16" s="196">
        <v>0</v>
      </c>
      <c r="AD16" s="196">
        <v>25</v>
      </c>
      <c r="AE16" s="196">
        <v>25</v>
      </c>
      <c r="AF16" s="202">
        <v>0</v>
      </c>
      <c r="AG16" s="215">
        <v>0</v>
      </c>
      <c r="AH16" s="196">
        <v>0</v>
      </c>
      <c r="AI16" s="196">
        <v>0</v>
      </c>
      <c r="AJ16" s="216">
        <v>0</v>
      </c>
      <c r="AK16" s="195">
        <v>0</v>
      </c>
      <c r="AL16" s="196">
        <v>26</v>
      </c>
      <c r="AM16" s="196">
        <v>26</v>
      </c>
      <c r="AN16" s="202">
        <v>0</v>
      </c>
      <c r="AO16" s="283">
        <v>3</v>
      </c>
      <c r="AP16" s="168">
        <v>3</v>
      </c>
      <c r="AQ16" s="168">
        <v>3</v>
      </c>
      <c r="AR16" s="168">
        <v>3</v>
      </c>
      <c r="AS16" s="381" t="s">
        <v>694</v>
      </c>
      <c r="AT16" s="216" t="s">
        <v>424</v>
      </c>
      <c r="AU16" s="215"/>
      <c r="AV16" s="216"/>
      <c r="AW16" s="215"/>
      <c r="AX16" s="216"/>
      <c r="AY16" s="138">
        <f t="shared" ref="AY16:BB17" si="10">IF(ISNUMBER(IF(D_I="SI",S16,S16+AK16)),IF(D_I="SI",S16,S16+AK16)," - ")</f>
        <v>3010</v>
      </c>
      <c r="AZ16" s="139">
        <f t="shared" si="10"/>
        <v>2617</v>
      </c>
      <c r="BA16" s="139">
        <f t="shared" si="10"/>
        <v>2535</v>
      </c>
      <c r="BB16" s="139">
        <f t="shared" si="10"/>
        <v>3092</v>
      </c>
      <c r="BC16" s="135">
        <f>IF(ISNUMBER(W16),W16," - ")</f>
        <v>277</v>
      </c>
      <c r="BD16" s="136">
        <f>IF(ISNUMBER(BA16/AZ16),BA16/AZ16," - ")</f>
        <v>0.96866641192204817</v>
      </c>
      <c r="BE16" s="137">
        <f>IF(ISNUMBER(BB16/BA16),BB16/BA16, " - ")</f>
        <v>1.2197238658777121</v>
      </c>
      <c r="BF16" s="137">
        <f>IF(ISNUMBER(BC16/BA16),BC16/BA16, " - ")</f>
        <v>0.10927021696252466</v>
      </c>
      <c r="BG16" s="209">
        <f t="shared" ref="BG16:BG22" si="11">IF(ISNUMBER((AY16+AZ16)/BA16),(AY16+AZ16)/BA16," - ")</f>
        <v>2.2197238658777119</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v>
      </c>
      <c r="J17" s="196">
        <v>0</v>
      </c>
      <c r="K17" s="196">
        <v>0</v>
      </c>
      <c r="L17" s="196">
        <v>10</v>
      </c>
      <c r="M17" s="196">
        <v>0</v>
      </c>
      <c r="N17" s="196">
        <v>0</v>
      </c>
      <c r="O17" s="194">
        <v>0</v>
      </c>
      <c r="P17" s="196">
        <v>0</v>
      </c>
      <c r="Q17" s="196">
        <v>0</v>
      </c>
      <c r="R17" s="196">
        <v>2</v>
      </c>
      <c r="S17" s="196">
        <v>12</v>
      </c>
      <c r="T17" s="196">
        <v>0</v>
      </c>
      <c r="U17" s="196">
        <v>1</v>
      </c>
      <c r="V17" s="196">
        <v>12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12</v>
      </c>
      <c r="AZ17" s="137">
        <f t="shared" si="10"/>
        <v>0</v>
      </c>
      <c r="BA17" s="137">
        <f t="shared" si="10"/>
        <v>1</v>
      </c>
      <c r="BB17" s="137">
        <f t="shared" si="10"/>
        <v>12</v>
      </c>
      <c r="BC17" s="135">
        <f>IF(ISNUMBER(W17),W17," - ")</f>
        <v>0</v>
      </c>
      <c r="BD17" s="136" t="str">
        <f t="shared" ref="BD17:BD22" si="12">IF(ISNUMBER(BA17/AZ17),BA17/AZ17," - ")</f>
        <v xml:space="preserve"> - </v>
      </c>
      <c r="BE17" s="137">
        <f t="shared" ref="BE17:BE22" si="13">IF(ISNUMBER(BB17/BA17),BB17/BA17, " - ")</f>
        <v>12</v>
      </c>
      <c r="BF17" s="137">
        <f t="shared" ref="BF17:BF22" si="14">IF(ISNUMBER(BC17/BA17),BC17/BA17, " - ")</f>
        <v>0</v>
      </c>
      <c r="BG17" s="209">
        <f t="shared" si="11"/>
        <v>12</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151</v>
      </c>
      <c r="J18" s="196">
        <v>291</v>
      </c>
      <c r="K18" s="196">
        <v>256</v>
      </c>
      <c r="L18" s="196">
        <v>186</v>
      </c>
      <c r="M18" s="196">
        <v>61</v>
      </c>
      <c r="N18" s="196">
        <v>179</v>
      </c>
      <c r="O18" s="196">
        <v>4</v>
      </c>
      <c r="P18" s="196">
        <v>14</v>
      </c>
      <c r="Q18" s="196">
        <v>4</v>
      </c>
      <c r="R18" s="196">
        <v>28</v>
      </c>
      <c r="S18" s="196">
        <v>103</v>
      </c>
      <c r="T18" s="196">
        <v>253</v>
      </c>
      <c r="U18" s="196">
        <v>250</v>
      </c>
      <c r="V18" s="196">
        <v>108</v>
      </c>
      <c r="W18" s="196">
        <v>68</v>
      </c>
      <c r="X18" s="202">
        <v>137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103</v>
      </c>
      <c r="AZ18" s="139">
        <f t="shared" si="15"/>
        <v>253</v>
      </c>
      <c r="BA18" s="139">
        <f t="shared" si="15"/>
        <v>250</v>
      </c>
      <c r="BB18" s="139">
        <f t="shared" si="15"/>
        <v>108</v>
      </c>
      <c r="BC18" s="135">
        <f>IF(ISNUMBER(W18),W18," - ")</f>
        <v>68</v>
      </c>
      <c r="BD18" s="136">
        <f>IF(ISNUMBER(BA18/AZ18),BA18/AZ18," - ")</f>
        <v>0.98814229249011853</v>
      </c>
      <c r="BE18" s="137">
        <f>IF(ISNUMBER(BB18/BA18),BB18/BA18, " - ")</f>
        <v>0.432</v>
      </c>
      <c r="BF18" s="137">
        <f>IF(ISNUMBER(BC18/BA18),BC18/BA18, " - ")</f>
        <v>0.27200000000000002</v>
      </c>
      <c r="BG18" s="209">
        <f>IF(ISNUMBER((AY18+AZ18)/BA18),(AY18+AZ18)/BA18," - ")</f>
        <v>1.4239999999999999</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3134</v>
      </c>
      <c r="J23" s="197">
        <f t="shared" si="21"/>
        <v>2994</v>
      </c>
      <c r="K23" s="197">
        <f t="shared" si="21"/>
        <v>3080</v>
      </c>
      <c r="L23" s="197">
        <f t="shared" si="21"/>
        <v>3048</v>
      </c>
      <c r="M23" s="197">
        <f t="shared" si="21"/>
        <v>406</v>
      </c>
      <c r="N23" s="197">
        <f t="shared" si="21"/>
        <v>1964</v>
      </c>
      <c r="O23" s="197">
        <f t="shared" si="21"/>
        <v>16</v>
      </c>
      <c r="P23" s="197">
        <f t="shared" si="21"/>
        <v>90</v>
      </c>
      <c r="Q23" s="197">
        <f t="shared" si="21"/>
        <v>82</v>
      </c>
      <c r="R23" s="197">
        <f t="shared" si="21"/>
        <v>358</v>
      </c>
      <c r="S23" s="197">
        <f t="shared" si="21"/>
        <v>3125</v>
      </c>
      <c r="T23" s="197">
        <f t="shared" si="21"/>
        <v>2870</v>
      </c>
      <c r="U23" s="197">
        <f t="shared" si="21"/>
        <v>2786</v>
      </c>
      <c r="V23" s="197">
        <f t="shared" si="21"/>
        <v>3212</v>
      </c>
      <c r="W23" s="197">
        <f t="shared" si="21"/>
        <v>345</v>
      </c>
      <c r="X23" s="197">
        <f t="shared" si="21"/>
        <v>1923</v>
      </c>
      <c r="Y23" s="197">
        <f t="shared" si="21"/>
        <v>0</v>
      </c>
      <c r="Z23" s="197">
        <f t="shared" si="21"/>
        <v>0</v>
      </c>
      <c r="AA23" s="197">
        <f t="shared" si="21"/>
        <v>0</v>
      </c>
      <c r="AB23" s="197">
        <f t="shared" si="21"/>
        <v>0</v>
      </c>
      <c r="AC23" s="197">
        <f t="shared" si="21"/>
        <v>0</v>
      </c>
      <c r="AD23" s="197">
        <f t="shared" si="21"/>
        <v>25</v>
      </c>
      <c r="AE23" s="197">
        <f t="shared" si="21"/>
        <v>25</v>
      </c>
      <c r="AF23" s="197">
        <f t="shared" si="21"/>
        <v>0</v>
      </c>
      <c r="AG23" s="197">
        <f t="shared" si="21"/>
        <v>0</v>
      </c>
      <c r="AH23" s="197">
        <f t="shared" si="21"/>
        <v>0</v>
      </c>
      <c r="AI23" s="197">
        <f t="shared" si="21"/>
        <v>0</v>
      </c>
      <c r="AJ23" s="197">
        <f t="shared" si="21"/>
        <v>0</v>
      </c>
      <c r="AK23" s="197">
        <f t="shared" si="21"/>
        <v>0</v>
      </c>
      <c r="AL23" s="197">
        <f t="shared" si="21"/>
        <v>26</v>
      </c>
      <c r="AM23" s="197">
        <f t="shared" si="21"/>
        <v>26</v>
      </c>
      <c r="AN23" s="197">
        <f t="shared" si="21"/>
        <v>0</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3125</v>
      </c>
      <c r="AZ23" s="197">
        <f>SUBTOTAL(9,AZ15:AZ22)</f>
        <v>2870</v>
      </c>
      <c r="BA23" s="197">
        <f>SUBTOTAL(9,BA15:BA22)</f>
        <v>2786</v>
      </c>
      <c r="BB23" s="197">
        <f>SUBTOTAL(9,BB15:BB22)</f>
        <v>3212</v>
      </c>
      <c r="BC23" s="197">
        <f>SUBTOTAL(9,BC15:BC22)</f>
        <v>345</v>
      </c>
      <c r="BD23" s="219">
        <f>IF(ISNUMBER(BA23/AZ23),BA23/AZ23," - ")</f>
        <v>0.97073170731707314</v>
      </c>
      <c r="BE23" s="220">
        <f>IF(ISNUMBER(BB23/BA23),BB23/BA23, " - ")</f>
        <v>1.1529073941134242</v>
      </c>
      <c r="BF23" s="220">
        <f>IF(ISNUMBER(BC23/BA23),BC23/BA23, " - ")</f>
        <v>0.12383345297918162</v>
      </c>
      <c r="BG23" s="221">
        <f>IF(ISNUMBER((AY23+AZ23)/BA23),(AY23+AZ23)/BA23," - ")</f>
        <v>2.1518305814788228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11534</v>
      </c>
      <c r="J31" s="144">
        <f t="shared" si="36"/>
        <v>5544</v>
      </c>
      <c r="K31" s="144">
        <f t="shared" si="36"/>
        <v>5744</v>
      </c>
      <c r="L31" s="144">
        <f t="shared" si="36"/>
        <v>11334</v>
      </c>
      <c r="M31" s="144">
        <f t="shared" si="36"/>
        <v>854</v>
      </c>
      <c r="N31" s="144">
        <f t="shared" si="36"/>
        <v>3177</v>
      </c>
      <c r="O31" s="144">
        <f t="shared" si="36"/>
        <v>714</v>
      </c>
      <c r="P31" s="144">
        <f t="shared" si="36"/>
        <v>595</v>
      </c>
      <c r="Q31" s="144">
        <f t="shared" si="36"/>
        <v>383</v>
      </c>
      <c r="R31" s="144">
        <f t="shared" si="36"/>
        <v>10539</v>
      </c>
      <c r="S31" s="144">
        <f t="shared" si="36"/>
        <v>10063</v>
      </c>
      <c r="T31" s="144">
        <f t="shared" si="36"/>
        <v>4949</v>
      </c>
      <c r="U31" s="144">
        <f t="shared" si="36"/>
        <v>4567</v>
      </c>
      <c r="V31" s="144">
        <f t="shared" si="36"/>
        <v>10448</v>
      </c>
      <c r="W31" s="144">
        <f t="shared" si="36"/>
        <v>747</v>
      </c>
      <c r="X31" s="144">
        <f t="shared" si="36"/>
        <v>2721</v>
      </c>
      <c r="Y31" s="144">
        <f t="shared" si="36"/>
        <v>196</v>
      </c>
      <c r="Z31" s="144">
        <f t="shared" si="36"/>
        <v>82</v>
      </c>
      <c r="AA31" s="144">
        <f t="shared" si="36"/>
        <v>124</v>
      </c>
      <c r="AB31" s="144">
        <f t="shared" si="36"/>
        <v>154</v>
      </c>
      <c r="AC31" s="144">
        <f t="shared" si="36"/>
        <v>0</v>
      </c>
      <c r="AD31" s="144">
        <f t="shared" si="36"/>
        <v>25</v>
      </c>
      <c r="AE31" s="144">
        <f t="shared" si="36"/>
        <v>25</v>
      </c>
      <c r="AF31" s="144">
        <f t="shared" si="36"/>
        <v>0</v>
      </c>
      <c r="AG31" s="144">
        <f t="shared" si="36"/>
        <v>158</v>
      </c>
      <c r="AH31" s="144">
        <f t="shared" si="36"/>
        <v>89</v>
      </c>
      <c r="AI31" s="144">
        <f t="shared" si="36"/>
        <v>79</v>
      </c>
      <c r="AJ31" s="144">
        <f t="shared" si="36"/>
        <v>168</v>
      </c>
      <c r="AK31" s="144">
        <f t="shared" si="36"/>
        <v>0</v>
      </c>
      <c r="AL31" s="144">
        <f t="shared" si="36"/>
        <v>26</v>
      </c>
      <c r="AM31" s="144">
        <f t="shared" si="36"/>
        <v>26</v>
      </c>
      <c r="AN31" s="224">
        <f t="shared" si="36"/>
        <v>0</v>
      </c>
      <c r="AO31" s="225">
        <v>9</v>
      </c>
      <c r="AP31" s="225">
        <v>9</v>
      </c>
      <c r="AQ31" s="225">
        <v>9</v>
      </c>
      <c r="AR31" s="225">
        <v>9</v>
      </c>
      <c r="AS31" s="166">
        <f t="shared" si="36"/>
        <v>0</v>
      </c>
      <c r="AT31" s="166">
        <f t="shared" si="36"/>
        <v>0</v>
      </c>
      <c r="AU31" s="225"/>
      <c r="AV31" s="226"/>
      <c r="AW31" s="225"/>
      <c r="AX31" s="226"/>
      <c r="AY31" s="143">
        <f>SUBTOTAL(9,AY9:AY30)</f>
        <v>10221</v>
      </c>
      <c r="AZ31" s="144">
        <f>SUBTOTAL(9,AZ9:AZ30)</f>
        <v>5038</v>
      </c>
      <c r="BA31" s="144">
        <f>SUBTOTAL(9,BA9:BA30)</f>
        <v>4646</v>
      </c>
      <c r="BB31" s="144">
        <f>SUBTOTAL(9,BB9:BB30)</f>
        <v>10616</v>
      </c>
      <c r="BC31" s="145">
        <f>SUBTOTAL(9,BC9:BC30)</f>
        <v>1141</v>
      </c>
      <c r="BD31" s="227">
        <f>IF(ISNUMBER(BA31/AZ31),BA31/AZ31," - ")</f>
        <v>0.9221913457721318</v>
      </c>
      <c r="BE31" s="224">
        <f>IF(ISNUMBER(BB31/BA31),BB31/BA31, " - ")</f>
        <v>2.2849763237193286</v>
      </c>
      <c r="BF31" s="224">
        <f>IF(ISNUMBER(BC31/BA31),BC31/BA31, " - ")</f>
        <v>0.24558760223848472</v>
      </c>
      <c r="BG31" s="145">
        <f>IF(ISNUMBER((AY31+AZ31)/BA31),(AY31+AZ31)/BA31," - ")</f>
        <v>3.2843306069737408</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1ERzIfnCft15e8b/WdEbDZ66QDfupFukmEkAL4cJz7m8CEhfLBRTHIa5NBLjwQT5xSErNaMJb6cj3ouZ8KNrQ==" saltValue="UBcJsuzXfVITwCmLHwJX7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azCfOmz//jFZ5r2t++mrp+cfhc6MWbG+Z4ZmiZ6djEhjBHmAcoIe07ijMTXEPIINWmhF8uB0Kcc5TSOVeJKmg==" saltValue="Xq7wfcyhOCy/RsnAgnNzV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LAS PALMAS  Resumenes por Partidos Judiciales  SAN BARTOLOME DE TIRAJANA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82</v>
      </c>
      <c r="O9" s="549"/>
      <c r="P9" s="549"/>
      <c r="Q9" s="547">
        <f>IF(ISNUMBER(Datos!P9),Datos!P9,0)</f>
        <v>502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286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154</v>
      </c>
      <c r="AI9" s="549" t="str">
        <f>IF(ISNUMBER(Datos!CD9),Datos!CD9,"-")</f>
        <v>-</v>
      </c>
      <c r="AJ9" s="549" t="str">
        <f>IF(ISNUMBER(Datos!EN9),Datos!EN9," - ")</f>
        <v xml:space="preserve"> - </v>
      </c>
      <c r="AK9" s="549"/>
      <c r="AL9" s="550"/>
      <c r="AM9" s="766">
        <f>IF(ISNUMBER(Datos!R9),Datos!R9," - ")</f>
        <v>9494</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437</v>
      </c>
      <c r="BD9" s="693">
        <f>IF(ISNUMBER(Datos!N9),Datos!N9," - ")</f>
        <v>1205</v>
      </c>
      <c r="BE9" s="693" t="str">
        <f>IF(ISNUMBER(Datos!BW9),Datos!BW9," - ")</f>
        <v xml:space="preserve"> - </v>
      </c>
      <c r="BF9" s="762" t="str">
        <f>IF(ISNUMBER(Datos!BX9),Datos!BX9," - ")</f>
        <v xml:space="preserve"> - </v>
      </c>
      <c r="BG9" s="763">
        <f>IF(ISNUMBER(IF(J_V="SI",Datos!K9/Datos!J9,(Datos!K9+Datos!AA9)/(Datos!J9+Datos!Z9))),IF(J_V="SI",Datos!K9/Datos!J9,(Datos!K9+Datos!AA9)/(Datos!J9+Datos!Z9))," - ")</f>
        <v>1.0602918586789554</v>
      </c>
      <c r="BH9" s="764">
        <f>IF(ISNUMBER(((IF(J_V="SI",Datos!L9/Datos!K9,(Datos!L9+Datos!AB9)/(Datos!K9+Datos!AA9)))*11)/factor_trimestre),((IF(J_V="SI",Datos!L9/Datos!K9,(Datos!L9+Datos!AB9)/(Datos!K9+Datos!AA9)))*11)/factor_trimestre," - ")</f>
        <v>6.0593987685621151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2.3280879499892219E-2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68</v>
      </c>
      <c r="G10" s="543">
        <f>IF(ISNUMBER(Datos!I10),Datos!I10," - ")</f>
        <v>68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27</v>
      </c>
      <c r="AC10" s="547">
        <f>IF(ISNUMBER(Datos!Q10),Datos!Q10," - ")</f>
        <v>3</v>
      </c>
      <c r="AD10" s="549"/>
      <c r="AE10" s="563"/>
      <c r="AF10" s="551">
        <f>IF(ISNUMBER(Datos!L10),Datos!L10,"-")</f>
        <v>69</v>
      </c>
      <c r="AG10" s="549"/>
      <c r="AH10" s="549"/>
      <c r="AI10" s="549"/>
      <c r="AJ10" s="549"/>
      <c r="AK10" s="549"/>
      <c r="AL10" s="550"/>
      <c r="AM10" s="766">
        <f>IF(ISNUMBER(Datos!R10),Datos!R10," - ")</f>
        <v>49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7</v>
      </c>
      <c r="BE10" s="693" t="str">
        <f>IF(ISNUMBER(Datos!BW10),Datos!BW10," - ")</f>
        <v xml:space="preserve"> - </v>
      </c>
      <c r="BF10" s="762" t="str">
        <f>IF(ISNUMBER(Datos!BX10),Datos!BX10," - ")</f>
        <v xml:space="preserve"> - </v>
      </c>
      <c r="BG10" s="763">
        <f>IF(ISNUMBER(Datos!K10/Datos!J10),Datos!K10/Datos!J10," - ")</f>
        <v>0.9642857142857143</v>
      </c>
      <c r="BH10" s="764">
        <f>IF(ISNUMBER(((Datos!L10/Datos!K10)*11)/factor_trimestre),((Datos!L10/Datos!K10)*11)/factor_trimestre," - ")</f>
        <v>5.1111111111111107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638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1</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-1.8461538461538463E-2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6</v>
      </c>
      <c r="F14" s="1197">
        <f t="shared" si="1"/>
        <v>68</v>
      </c>
      <c r="G14" s="1197">
        <f t="shared" si="1"/>
        <v>68</v>
      </c>
      <c r="H14" s="1198">
        <f t="shared" si="1"/>
        <v>0</v>
      </c>
      <c r="I14" s="1197">
        <f t="shared" si="1"/>
        <v>0</v>
      </c>
      <c r="J14" s="1164">
        <f t="shared" si="1"/>
        <v>0</v>
      </c>
      <c r="K14" s="1164">
        <f t="shared" si="1"/>
        <v>0</v>
      </c>
      <c r="L14" s="1198">
        <f t="shared" si="1"/>
        <v>0</v>
      </c>
      <c r="M14" s="1198">
        <f t="shared" si="1"/>
        <v>0</v>
      </c>
      <c r="N14" s="1198">
        <f t="shared" si="1"/>
        <v>82</v>
      </c>
      <c r="O14" s="1199">
        <f t="shared" si="1"/>
        <v>0</v>
      </c>
      <c r="P14" s="1199">
        <f t="shared" si="1"/>
        <v>0</v>
      </c>
      <c r="Q14" s="1198">
        <f t="shared" si="1"/>
        <v>505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27</v>
      </c>
      <c r="AC14" s="1198">
        <f t="shared" si="2"/>
        <v>301</v>
      </c>
      <c r="AD14" s="1198">
        <f t="shared" si="2"/>
        <v>0</v>
      </c>
      <c r="AE14" s="1198">
        <f t="shared" si="2"/>
        <v>0</v>
      </c>
      <c r="AF14" s="1198">
        <f t="shared" si="2"/>
        <v>69</v>
      </c>
      <c r="AG14" s="1198">
        <f t="shared" si="2"/>
        <v>0</v>
      </c>
      <c r="AH14" s="1198">
        <f t="shared" si="2"/>
        <v>154</v>
      </c>
      <c r="AI14" s="1198">
        <f t="shared" si="2"/>
        <v>0</v>
      </c>
      <c r="AJ14" s="1198">
        <f t="shared" si="2"/>
        <v>0</v>
      </c>
      <c r="AK14" s="1198">
        <f t="shared" si="2"/>
        <v>0</v>
      </c>
      <c r="AL14" s="1198">
        <f t="shared" si="2"/>
        <v>0</v>
      </c>
      <c r="AM14" s="1198">
        <f t="shared" si="2"/>
        <v>10181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448</v>
      </c>
      <c r="BD14" s="1198">
        <f t="shared" si="2"/>
        <v>1213</v>
      </c>
      <c r="BE14" s="1198">
        <f t="shared" si="2"/>
        <v>0</v>
      </c>
      <c r="BF14" s="1198">
        <f t="shared" si="2"/>
        <v>0</v>
      </c>
      <c r="BG14" s="1198">
        <f>IF(ISNUMBER(Datos!K14/Datos!J14),Datos!K14/Datos!J14," - ")</f>
        <v>1.0447058823529412</v>
      </c>
      <c r="BH14" s="1202">
        <f>IF(ISNUMBER(((Datos!L14/Datos!K14)*11)/factor_trimestre),((Datos!L14/Datos!K14)*11)/factor_trimestre," - ")</f>
        <v>6.2207207207207205</v>
      </c>
      <c r="BI14" s="1198">
        <f>IF(ISNUMBER('Resol  Asuntos'!D14/NºAsuntos!G14),'Resol  Asuntos'!D14/NºAsuntos!G14," - ")</f>
        <v>0.1606886657101865</v>
      </c>
      <c r="BJ14" s="1198" t="str">
        <f>IF(ISNUMBER(Datos!CI14/Datos!CJ14),Datos!CI14/Datos!CJ14," - ")</f>
        <v xml:space="preserve"> - </v>
      </c>
      <c r="BK14" s="1198">
        <f>SUBTOTAL(9,BK8:BK13)</f>
        <v>0</v>
      </c>
      <c r="BL14" s="1198">
        <f>IF(ISNUMBER((I14-AB14+L14)/(F14)),(I14-AB14+L14)/(F14)," - ")</f>
        <v>-0.39705882352941174</v>
      </c>
      <c r="BM14" s="1203">
        <f>SUBTOTAL(9,BM9:BM13)</f>
        <v>4.8193410383537555E-3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2973</v>
      </c>
      <c r="G16" s="743">
        <f>IF(ISNUMBER(IF(D_I="SI",Datos!I16,Datos!I16+Datos!AC16)),IF(D_I="SI",Datos!I16,Datos!I16+Datos!AC16)," - ")</f>
        <v>2973</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76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2824</v>
      </c>
      <c r="AC16" s="240">
        <f>IF(ISNUMBER(Datos!Q16),Datos!Q16," - ")</f>
        <v>78</v>
      </c>
      <c r="AD16" s="374"/>
      <c r="AE16" s="562"/>
      <c r="AF16" s="741">
        <f>IF(ISNUMBER(IF(D_I="SI",Datos!L16,Datos!L16+Datos!AF16)),IF(D_I="SI",Datos!L16,Datos!L16+Datos!AF16)," - ")</f>
        <v>2852</v>
      </c>
      <c r="AG16" s="374"/>
      <c r="AH16" s="374"/>
      <c r="AI16" s="374"/>
      <c r="AJ16" s="549"/>
      <c r="AK16" s="374"/>
      <c r="AL16" s="545"/>
      <c r="AM16" s="375">
        <f>IF(ISNUMBER(Datos!R16),Datos!R16," - ")</f>
        <v>328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345</v>
      </c>
      <c r="BD16" s="243">
        <f>IF(ISNUMBER(Datos!N16),Datos!N16," - ")</f>
        <v>1785</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1.0447650758416573</v>
      </c>
      <c r="BH16" s="764">
        <f>IF(ISNUMBER(((IF(D_I="SI",Datos!L16/Datos!K16,(Datos!L16+Datos!AF16)/(Datos!K16+Datos!AE16)))*11)/factor_trimestre),((IF(D_I="SI",Datos!L16/Datos!K16,(Datos!L16+Datos!AF16)/(Datos!K16+Datos!AE16)))*11)/factor_trimestre," - ")</f>
        <v>2.0198300283286117</v>
      </c>
      <c r="BI16" s="266">
        <f>IF(ISNUMBER('Resol  Asuntos'!D16/NºAsuntos!G16),'Resol  Asuntos'!D16/NºAsuntos!G16," - ")</f>
        <v>0.12216713881019831</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10</v>
      </c>
      <c r="G17" s="743">
        <f>IF(ISNUMBER(IF(D_I="SI",Datos!I17,Datos!I17+Datos!AC17)),IF(D_I="SI",Datos!I17,Datos!I17+Datos!AC17)," - ")</f>
        <v>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10</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256</v>
      </c>
      <c r="AC18" s="547">
        <f>IF(ISNUMBER(Datos!Q18),Datos!Q18," - ")</f>
        <v>4</v>
      </c>
      <c r="AD18" s="549"/>
      <c r="AE18" s="562"/>
      <c r="AF18" s="551">
        <f>IF(ISNUMBER(Datos!L18),Datos!L18,"-")</f>
        <v>186</v>
      </c>
      <c r="AG18" s="549"/>
      <c r="AH18" s="549"/>
      <c r="AI18" s="549"/>
      <c r="AJ18" s="549"/>
      <c r="AK18" s="549"/>
      <c r="AL18" s="550"/>
      <c r="AM18" s="766">
        <f>IF(ISNUMBER(Datos!R18),Datos!R18," - ")</f>
        <v>28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61</v>
      </c>
      <c r="BD18" s="693">
        <f>IF(ISNUMBER(Datos!N18),Datos!N18," - ")</f>
        <v>179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0.8797250859106529</v>
      </c>
      <c r="BH18" s="764">
        <f>IF(ISNUMBER(((IF(D_I="SI",Datos!L18/Datos!K18,(Datos!L18+Datos!AF18)/(Datos!K18+Datos!AE18)))*11)/factor_trimestre),((IF(D_I="SI",Datos!L18/Datos!K18,(Datos!L18+Datos!AF18)/(Datos!K18+Datos!AE18)))*11)/factor_trimestre," - ")</f>
        <v>1.453125</v>
      </c>
      <c r="BI18" s="763">
        <f>IF(ISNUMBER('Resol  Asuntos'!D18/NºAsuntos!G18),'Resol  Asuntos'!D18/NºAsuntos!G18," - ")</f>
        <v>0.23828125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2983</v>
      </c>
      <c r="G23" s="1197">
        <f>SUBTOTAL(9,G16:G22)</f>
        <v>3134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3080</v>
      </c>
      <c r="AC23" s="1198">
        <f t="shared" si="5"/>
        <v>82</v>
      </c>
      <c r="AD23" s="1198">
        <f t="shared" si="5"/>
        <v>0</v>
      </c>
      <c r="AE23" s="1198">
        <f t="shared" si="5"/>
        <v>0</v>
      </c>
      <c r="AF23" s="1198">
        <f t="shared" si="5"/>
        <v>3048</v>
      </c>
      <c r="AG23" s="1198">
        <f t="shared" si="5"/>
        <v>0</v>
      </c>
      <c r="AH23" s="1198">
        <f t="shared" si="5"/>
        <v>0</v>
      </c>
      <c r="AI23" s="1198">
        <f t="shared" si="5"/>
        <v>0</v>
      </c>
      <c r="AJ23" s="1198">
        <f t="shared" si="5"/>
        <v>0</v>
      </c>
      <c r="AK23" s="1198">
        <f t="shared" si="5"/>
        <v>0</v>
      </c>
      <c r="AL23" s="1198">
        <f t="shared" si="5"/>
        <v>0</v>
      </c>
      <c r="AM23" s="1198">
        <f t="shared" si="5"/>
        <v>358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406</v>
      </c>
      <c r="BD23" s="1198">
        <f t="shared" si="5"/>
        <v>1964</v>
      </c>
      <c r="BE23" s="1198">
        <f t="shared" si="5"/>
        <v>0</v>
      </c>
      <c r="BF23" s="1198">
        <f t="shared" si="5"/>
        <v>0</v>
      </c>
      <c r="BG23" s="1198">
        <f>IF(ISNUMBER(Datos!K23/Datos!J23),Datos!K23/Datos!J23," - ")</f>
        <v>1.0287241148964597</v>
      </c>
      <c r="BH23" s="1202">
        <f>IF(ISNUMBER(((Datos!L23/Datos!K23)*11)/factor_trimestre),((Datos!L23/Datos!K23)*11)/factor_trimestre," - ")</f>
        <v>1.9792207792207792</v>
      </c>
      <c r="BI23" s="1198">
        <f>SUBTOTAL(9,BI16:BI22)</f>
        <v>0.36044838881019831</v>
      </c>
      <c r="BJ23" s="1198">
        <f>SUBTOTAL(9,BJ16:BJ22)</f>
        <v>0</v>
      </c>
      <c r="BK23" s="1198">
        <f>SUBTOTAL(9,BK16:BK22)</f>
        <v>0</v>
      </c>
      <c r="BL23" s="1198">
        <f>IF(ISNUMBER((I23-AB23+L23)/(F23)),(I23-AB23+L23)/(F23)," - ")</f>
        <v>-1.0325175997318137</v>
      </c>
      <c r="BM23" s="1205">
        <f>IF(ISNUMBER((Datos!P23-Datos!Q23)/(Datos!R23-Datos!P23+Datos!Q23)),(Datos!P23-Datos!Q23)/(Datos!R23-Datos!P23+Datos!Q23)," - ")</f>
        <v>2.2857142857142857E-2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10</v>
      </c>
      <c r="F31" s="1117">
        <f t="shared" si="18"/>
        <v>3051</v>
      </c>
      <c r="G31" s="1117">
        <f t="shared" si="18"/>
        <v>3202</v>
      </c>
      <c r="H31" s="1119">
        <f t="shared" si="18"/>
        <v>0</v>
      </c>
      <c r="I31" s="1117">
        <f t="shared" si="18"/>
        <v>0</v>
      </c>
      <c r="J31" s="1119">
        <f t="shared" si="18"/>
        <v>0</v>
      </c>
      <c r="K31" s="1119">
        <f t="shared" si="18"/>
        <v>0</v>
      </c>
      <c r="L31" s="1180">
        <f t="shared" si="18"/>
        <v>0</v>
      </c>
      <c r="M31" s="1180">
        <f t="shared" si="18"/>
        <v>0</v>
      </c>
      <c r="N31" s="1180">
        <f t="shared" si="18"/>
        <v>82</v>
      </c>
      <c r="O31" s="1180">
        <f t="shared" si="18"/>
        <v>0</v>
      </c>
      <c r="P31" s="1180">
        <f t="shared" si="18"/>
        <v>0</v>
      </c>
      <c r="Q31" s="1119">
        <f t="shared" si="18"/>
        <v>595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3107</v>
      </c>
      <c r="AC31" s="1118">
        <f t="shared" si="19"/>
        <v>383</v>
      </c>
      <c r="AD31" s="1118">
        <f t="shared" si="19"/>
        <v>0</v>
      </c>
      <c r="AE31" s="1118">
        <f t="shared" si="19"/>
        <v>0</v>
      </c>
      <c r="AF31" s="1125">
        <f t="shared" si="19"/>
        <v>3117</v>
      </c>
      <c r="AG31" s="1125">
        <f t="shared" si="19"/>
        <v>0</v>
      </c>
      <c r="AH31" s="1125">
        <f t="shared" si="19"/>
        <v>154</v>
      </c>
      <c r="AI31" s="1125">
        <f t="shared" si="19"/>
        <v>0</v>
      </c>
      <c r="AJ31" s="1118">
        <f t="shared" si="19"/>
        <v>0</v>
      </c>
      <c r="AK31" s="1125">
        <f t="shared" si="19"/>
        <v>0</v>
      </c>
      <c r="AL31" s="1125">
        <f t="shared" si="19"/>
        <v>0</v>
      </c>
      <c r="AM31" s="1125">
        <f t="shared" si="19"/>
        <v>10539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854</v>
      </c>
      <c r="BD31" s="1117">
        <f t="shared" si="19"/>
        <v>3177</v>
      </c>
      <c r="BE31" s="1117">
        <f t="shared" si="19"/>
        <v>0</v>
      </c>
      <c r="BF31" s="1127">
        <f t="shared" si="19"/>
        <v>0</v>
      </c>
      <c r="BG31" s="1223">
        <f>IF(ISNUMBER(Datos!K31/Datos!J31),Datos!K31/Datos!J31," - ")</f>
        <v>1.0360750360750361</v>
      </c>
      <c r="BH31" s="1223">
        <f>IF(ISNUMBER(((Datos!L31/Datos!K31)*11)/factor_trimestre),((Datos!L31/Datos!K31)*11)/factor_trimestre," - ")</f>
        <v>3.9463788300835656</v>
      </c>
      <c r="BI31" s="1103">
        <f>IF(ISNUMBER(Datos!J31/Datos!I31),Datos!J31/Datos!I31," - ")</f>
        <v>0.48066585746488644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-1.0183546378236643</v>
      </c>
      <c r="BM31" s="1188">
        <f>IF(ISNUMBER((Datos!P31-Datos!Q31+R31)/(Datos!R31-Datos!P31+Datos!Q31-R31)),(Datos!P31-Datos!Q31+R31)/(Datos!R31-Datos!P31+Datos!Q31-R31)," - ")</f>
        <v>2.0528711145540814E-2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800.5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1.928548222268252</v>
      </c>
      <c r="F33" s="673">
        <f>IF(ISNUMBER(STDEV(F8:F30)),STDEV(F8:F30),"-")</f>
        <v>1439.1644235789176</v>
      </c>
      <c r="G33" s="674">
        <f>IF(ISNUMBER(STDEV(G8:G30)),STDEV(G8:G30),"-")</f>
        <v>1392.1428498130911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1347.041493686919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207.53837663858167</v>
      </c>
      <c r="BD33" s="673"/>
      <c r="BE33" s="673">
        <f>IF(ISNUMBER(STDEV(BE8:BE30)),STDEV(BE8:BE30),"-")</f>
        <v>0</v>
      </c>
      <c r="BF33" s="678">
        <f>IF(ISNUMBER(STDEV(BF8:BF30)),STDEV(BF8:BF30),"-")</f>
        <v>0</v>
      </c>
      <c r="BG33" s="1052">
        <f>IF(ISNUMBER(STDEV(BG8:BG30)),STDEV(BG8:BG30),"-")</f>
        <v>6.9454903504776053E-2</v>
      </c>
      <c r="BH33" s="1058">
        <f>IF(ISNUMBER(STDEV(BH8:BH30)),STDEV(BH8:BH30),"-")</f>
        <v>2.2215100402157737</v>
      </c>
      <c r="BI33" s="273">
        <f>IF(ISNUMBER(STDEV(BI8:BI30)),STDEV(BI8:BI30),"-")</f>
        <v>0.10511648890179802</v>
      </c>
      <c r="BJ33" s="244" t="str">
        <f>IF(ISNUMBER(BL33/BM33),BL33/BM33," - ")</f>
        <v xml:space="preserve"> - </v>
      </c>
      <c r="BK33" s="709"/>
      <c r="BL33" s="681">
        <f>IF(ISNUMBER(STDEV(BL8:BL30)),STDEV(BL8:BL30),"-")</f>
        <v>0.44933720981722325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muX8M+W8+2tVLfCVSsxFnySgIU+TqZbChhoJyAKaS+RhH/67sZfSDkGRE/3SGIZ6hjOoB5d03b/OVZzrwgKUg==" saltValue="cmtFztq2GmV4ZHWMQAEU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LAS PALMAS  Resumenes por Partidos Judiciales  SAN BARTOLOME DE TIRAJANA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502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286</v>
      </c>
      <c r="AA9" s="551" t="str">
        <f>IF(ISNUMBER(IF(J_V="SI",Datos!L9,Datos!L9+Datos!AB9)-IF(Monitorios="SI",Datos!CD9,0)),
                          IF(J_V="SI",Datos!L9,Datos!L9+Datos!AB9)-IF(Monitorios="SI",Datos!CD9,0),
                          " - ")</f>
        <v xml:space="preserve"> - </v>
      </c>
      <c r="AB9" s="549"/>
      <c r="AC9" s="549"/>
      <c r="AD9" s="563"/>
      <c r="AE9" s="563">
        <f>IF(ISNUMBER(Datos!R9),Datos!R9," - ")</f>
        <v>9494</v>
      </c>
      <c r="AF9" s="693" t="str">
        <f>IF(ISNUMBER(Datos!BV9),Datos!BV9," - ")</f>
        <v xml:space="preserve"> - </v>
      </c>
      <c r="AG9" s="552" t="str">
        <f>IF(ISNUMBER(Datos!DV9),Datos!DV9," - ")</f>
        <v xml:space="preserve"> - </v>
      </c>
      <c r="AH9" s="553"/>
      <c r="AI9" s="554"/>
      <c r="AJ9" s="552">
        <f>IF(ISNUMBER(Datos!M9),Datos!M9," - ")</f>
        <v>437</v>
      </c>
      <c r="AK9" s="693">
        <f>IF(ISNUMBER(Datos!N9),Datos!N9," - ")</f>
        <v>1205</v>
      </c>
      <c r="AL9" s="693" t="str">
        <f>IF(ISNUMBER(Datos!BW9),Datos!BW9," - ")</f>
        <v xml:space="preserve"> - </v>
      </c>
      <c r="AM9" s="762" t="str">
        <f>IF(ISNUMBER(Datos!BX9),Datos!BX9," - ")</f>
        <v xml:space="preserve"> - </v>
      </c>
      <c r="AN9" s="763"/>
      <c r="AO9" s="764">
        <f>IF(ISNUMBER(((NºAsuntos!I9/NºAsuntos!G9)*11)/factor_trimestre),((NºAsuntos!I9/NºAsuntos!G9)*11)/factor_trimestre," - ")</f>
        <v>6.0593987685621151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2.3280879499892219E-2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68</v>
      </c>
      <c r="G10" s="552">
        <f>IF(ISNUMBER(Datos!I10),Datos!I10," - ")</f>
        <v>68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27</v>
      </c>
      <c r="Z10" s="805">
        <f>IF(ISNUMBER(Datos!Q10),Datos!Q10," - ")</f>
        <v>3</v>
      </c>
      <c r="AA10" s="551">
        <f>IF(ISNUMBER(Datos!L10),Datos!L10,"-")</f>
        <v>69</v>
      </c>
      <c r="AB10" s="549"/>
      <c r="AC10" s="549"/>
      <c r="AD10" s="563"/>
      <c r="AE10" s="563">
        <f>IF(ISNUMBER(Datos!R10),Datos!R10," - ")</f>
        <v>49</v>
      </c>
      <c r="AF10" s="693" t="str">
        <f>IF(ISNUMBER(Datos!BV10),Datos!BV10," - ")</f>
        <v xml:space="preserve"> - </v>
      </c>
      <c r="AG10" s="552" t="str">
        <f>IF(ISNUMBER(Datos!DV10),Datos!DV10," - ")</f>
        <v xml:space="preserve"> - </v>
      </c>
      <c r="AH10" s="553"/>
      <c r="AI10" s="554"/>
      <c r="AJ10" s="552">
        <f>IF(ISNUMBER(Datos!M10),Datos!M10," - ")</f>
        <v>11</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5.1111111111111107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638</v>
      </c>
      <c r="AF12" s="693" t="str">
        <f>IF(ISNUMBER(Datos!BV12),Datos!BV12," - ")</f>
        <v xml:space="preserve"> - </v>
      </c>
      <c r="AG12" s="552" t="str">
        <f>IF(ISNUMBER(Datos!DV12),Datos!DV12," - ")</f>
        <v xml:space="preserve"> - </v>
      </c>
      <c r="AH12" s="553"/>
      <c r="AI12" s="554"/>
      <c r="AJ12" s="552">
        <f>IF(ISNUMBER(Datos!M12),Datos!M12," - ")</f>
        <v>0</v>
      </c>
      <c r="AK12" s="693">
        <f>IF(ISNUMBER(Datos!N12),Datos!N12," - ")</f>
        <v>1</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-1.8461538461538463E-2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6</v>
      </c>
      <c r="F14" s="1197">
        <f>SUBTOTAL(9,F8:F13)</f>
        <v>68</v>
      </c>
      <c r="G14" s="1197">
        <f>SUBTOTAL(9,G8:G13)</f>
        <v>68</v>
      </c>
      <c r="H14" s="1211"/>
      <c r="I14" s="1197">
        <f t="shared" ref="I14:N14" si="1">SUBTOTAL(9,I8:I13)</f>
        <v>0</v>
      </c>
      <c r="J14" s="1164">
        <f t="shared" si="1"/>
        <v>0</v>
      </c>
      <c r="K14" s="1211">
        <f t="shared" si="1"/>
        <v>0</v>
      </c>
      <c r="L14" s="1211">
        <f t="shared" si="1"/>
        <v>0</v>
      </c>
      <c r="M14" s="1211">
        <f t="shared" si="1"/>
        <v>0</v>
      </c>
      <c r="N14" s="1211">
        <f t="shared" si="1"/>
        <v>505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27</v>
      </c>
      <c r="Z14" s="1210">
        <f t="shared" si="3"/>
        <v>301</v>
      </c>
      <c r="AA14" s="1199">
        <f t="shared" si="3"/>
        <v>69</v>
      </c>
      <c r="AB14" s="1199">
        <f t="shared" si="3"/>
        <v>0</v>
      </c>
      <c r="AC14" s="1199">
        <f t="shared" si="3"/>
        <v>0</v>
      </c>
      <c r="AD14" s="1199">
        <f t="shared" si="3"/>
        <v>0</v>
      </c>
      <c r="AE14" s="1199">
        <f t="shared" si="3"/>
        <v>10181</v>
      </c>
      <c r="AF14" s="1211">
        <f t="shared" si="3"/>
        <v>0</v>
      </c>
      <c r="AG14" s="1211">
        <f t="shared" si="3"/>
        <v>0</v>
      </c>
      <c r="AH14" s="1211">
        <f t="shared" si="3"/>
        <v>0</v>
      </c>
      <c r="AI14" s="1211">
        <f t="shared" si="3"/>
        <v>0</v>
      </c>
      <c r="AJ14" s="1211">
        <f t="shared" si="3"/>
        <v>448</v>
      </c>
      <c r="AK14" s="1211">
        <f t="shared" si="3"/>
        <v>1213</v>
      </c>
      <c r="AL14" s="1211">
        <f t="shared" si="3"/>
        <v>0</v>
      </c>
      <c r="AM14" s="1211">
        <f t="shared" si="3"/>
        <v>0</v>
      </c>
      <c r="AN14" s="1211">
        <f t="shared" si="3"/>
        <v>0</v>
      </c>
      <c r="AO14" s="1203">
        <f>IF(ISNUMBER(((NºAsuntos!I14/NºAsuntos!G14)*11)/factor_trimestre),((NºAsuntos!I14/NºAsuntos!G14)*11)/factor_trimestre," - ")</f>
        <v>6.0545193687230983</v>
      </c>
      <c r="AP14" s="1213" t="str">
        <f>IF(ISNUMBER(Datos!CI14/Datos!CJ14),Datos!CI14/Datos!CJ14," - ")</f>
        <v xml:space="preserve"> - </v>
      </c>
      <c r="AQ14" s="1236">
        <f t="shared" ref="AQ14:AV14" si="4">SUBTOTAL(9,AQ9:AQ13)</f>
        <v>0</v>
      </c>
      <c r="AR14" s="1236">
        <f t="shared" si="4"/>
        <v>4.8193410383537555E-3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2973</v>
      </c>
      <c r="G16" s="552">
        <f>IF(ISNUMBER(IF(D_I="SI",Datos!I16,Datos!I16+Datos!AC16)),IF(D_I="SI",Datos!I16,Datos!I16+Datos!AC16)," - ")</f>
        <v>2973</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76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2824</v>
      </c>
      <c r="Z16" s="805">
        <f>IF(ISNUMBER(Datos!Q16),Datos!Q16," - ")</f>
        <v>78</v>
      </c>
      <c r="AA16" s="551">
        <f>IF(ISNUMBER(IF(D_I="SI",Datos!L16,Datos!L16+Datos!AF16)),IF(D_I="SI",Datos!L16,Datos!L16+Datos!AF16)," - ")</f>
        <v>2852</v>
      </c>
      <c r="AB16" s="549"/>
      <c r="AC16" s="549"/>
      <c r="AD16" s="563"/>
      <c r="AE16" s="563">
        <f>IF(ISNUMBER(Datos!R16),Datos!R16," - ")</f>
        <v>328</v>
      </c>
      <c r="AF16" s="693" t="str">
        <f>IF(ISNUMBER(Datos!BV16),Datos!BV16," - ")</f>
        <v xml:space="preserve"> - </v>
      </c>
      <c r="AG16" s="552"/>
      <c r="AH16" s="553"/>
      <c r="AI16" s="554"/>
      <c r="AJ16" s="552">
        <f>IF(ISNUMBER(Datos!M16),Datos!M16," - ")</f>
        <v>345</v>
      </c>
      <c r="AK16" s="693">
        <f>IF(ISNUMBER(Datos!N16),Datos!N16," - ")</f>
        <v>1785</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2.0198300283286117</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10</v>
      </c>
      <c r="G17" s="552">
        <f>IF(ISNUMBER(IF(D_I="SI",Datos!I17,Datos!I17+Datos!AC17)),IF(D_I="SI",Datos!I17,Datos!I17+Datos!AC17)," - ")</f>
        <v>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10</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256</v>
      </c>
      <c r="Z18" s="805">
        <f>IF(ISNUMBER(Datos!Q18),Datos!Q18," - ")</f>
        <v>4</v>
      </c>
      <c r="AA18" s="551">
        <f>IF(ISNUMBER(Datos!L18),Datos!L18,"-")</f>
        <v>186</v>
      </c>
      <c r="AB18" s="549"/>
      <c r="AC18" s="549"/>
      <c r="AD18" s="563"/>
      <c r="AE18" s="563">
        <f>IF(ISNUMBER(Datos!R18),Datos!R18," - ")</f>
        <v>28</v>
      </c>
      <c r="AF18" s="693" t="str">
        <f>IF(ISNUMBER(Datos!BV18),Datos!BV18," - ")</f>
        <v xml:space="preserve"> - </v>
      </c>
      <c r="AG18" s="552" t="str">
        <f>IF(ISNUMBER(Datos!DV18),Datos!DV18," - ")</f>
        <v xml:space="preserve"> - </v>
      </c>
      <c r="AH18" s="553"/>
      <c r="AI18" s="554"/>
      <c r="AJ18" s="552">
        <f>IF(ISNUMBER(Datos!M18),Datos!M18," - ")</f>
        <v>61</v>
      </c>
      <c r="AK18" s="693">
        <f>IF(ISNUMBER(Datos!N18),Datos!N18," - ")</f>
        <v>179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1.453125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2983</v>
      </c>
      <c r="G23" s="1197">
        <f>SUBTOTAL(9,G16:G22)</f>
        <v>3134</v>
      </c>
      <c r="H23" s="1240">
        <f>SUBTOTAL(9,H16:H22)</f>
        <v>0</v>
      </c>
      <c r="I23" s="1217">
        <f>SUBTOTAL(9,I16:I22)</f>
        <v>0</v>
      </c>
      <c r="J23" s="1164">
        <f>SUBTOTAL(9,J15:J22)</f>
        <v>0</v>
      </c>
      <c r="K23" s="1240">
        <f t="shared" ref="K23:S23" si="5">SUBTOTAL(9,K16:K22)</f>
        <v>0</v>
      </c>
      <c r="L23" s="1240">
        <f t="shared" si="5"/>
        <v>0</v>
      </c>
      <c r="M23" s="1240">
        <f t="shared" si="5"/>
        <v>0</v>
      </c>
      <c r="N23" s="1240">
        <f t="shared" si="5"/>
        <v>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3080</v>
      </c>
      <c r="Z23" s="1240">
        <f t="shared" si="6"/>
        <v>82</v>
      </c>
      <c r="AA23" s="1240">
        <f t="shared" si="6"/>
        <v>3048</v>
      </c>
      <c r="AB23" s="1240">
        <f t="shared" si="6"/>
        <v>0</v>
      </c>
      <c r="AC23" s="1240">
        <f t="shared" si="6"/>
        <v>0</v>
      </c>
      <c r="AD23" s="1240">
        <f t="shared" si="6"/>
        <v>0</v>
      </c>
      <c r="AE23" s="1240">
        <f t="shared" si="6"/>
        <v>358</v>
      </c>
      <c r="AF23" s="1240">
        <f t="shared" si="6"/>
        <v>0</v>
      </c>
      <c r="AG23" s="1240">
        <f t="shared" si="6"/>
        <v>0</v>
      </c>
      <c r="AH23" s="1240">
        <f t="shared" si="6"/>
        <v>0</v>
      </c>
      <c r="AI23" s="1240">
        <f t="shared" si="6"/>
        <v>0</v>
      </c>
      <c r="AJ23" s="1240">
        <f t="shared" si="6"/>
        <v>406</v>
      </c>
      <c r="AK23" s="1240">
        <f t="shared" si="6"/>
        <v>1964</v>
      </c>
      <c r="AL23" s="1240">
        <f t="shared" si="6"/>
        <v>0</v>
      </c>
      <c r="AM23" s="1240">
        <f t="shared" si="6"/>
        <v>0</v>
      </c>
      <c r="AN23" s="1240">
        <f t="shared" si="6"/>
        <v>0</v>
      </c>
      <c r="AO23" s="1242">
        <f>IF(ISNUMBER(((NºAsuntos!I23/NºAsuntos!G23)*11)/factor_trimestre),((NºAsuntos!I23/NºAsuntos!G23)*11)/factor_trimestre," - ")</f>
        <v>1.9792207792207792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3051</v>
      </c>
      <c r="G31" s="1117">
        <f t="shared" si="12"/>
        <v>3202</v>
      </c>
      <c r="H31" s="1118">
        <f t="shared" si="12"/>
        <v>0</v>
      </c>
      <c r="I31" s="1117">
        <f t="shared" si="12"/>
        <v>0</v>
      </c>
      <c r="J31" s="1119">
        <f t="shared" si="12"/>
        <v>0</v>
      </c>
      <c r="K31" s="1117">
        <f t="shared" si="12"/>
        <v>0</v>
      </c>
      <c r="L31" s="1120">
        <f t="shared" si="12"/>
        <v>0</v>
      </c>
      <c r="M31" s="1117">
        <f t="shared" si="12"/>
        <v>0</v>
      </c>
      <c r="N31" s="1118">
        <f t="shared" si="12"/>
        <v>595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3107</v>
      </c>
      <c r="Z31" s="1124">
        <f t="shared" si="13"/>
        <v>383</v>
      </c>
      <c r="AA31" s="1125">
        <f t="shared" si="13"/>
        <v>3117</v>
      </c>
      <c r="AB31" s="1125">
        <f t="shared" si="13"/>
        <v>0</v>
      </c>
      <c r="AC31" s="1125">
        <f t="shared" si="13"/>
        <v>0</v>
      </c>
      <c r="AD31" s="1126">
        <f t="shared" si="13"/>
        <v>0</v>
      </c>
      <c r="AE31" s="1126">
        <f t="shared" si="13"/>
        <v>10539</v>
      </c>
      <c r="AF31" s="1127">
        <f t="shared" si="13"/>
        <v>0</v>
      </c>
      <c r="AG31" s="1128">
        <f t="shared" si="13"/>
        <v>0</v>
      </c>
      <c r="AH31" s="1129">
        <f t="shared" si="13"/>
        <v>0</v>
      </c>
      <c r="AI31" s="1127">
        <f t="shared" si="13"/>
        <v>0</v>
      </c>
      <c r="AJ31" s="1117">
        <f t="shared" si="13"/>
        <v>854</v>
      </c>
      <c r="AK31" s="1117">
        <f t="shared" si="13"/>
        <v>3177</v>
      </c>
      <c r="AL31" s="1117">
        <f t="shared" si="13"/>
        <v>0</v>
      </c>
      <c r="AM31" s="1130">
        <f t="shared" si="13"/>
        <v>0</v>
      </c>
      <c r="AN31" s="1120">
        <f>IF(ISNUMBER(Datos!K31/Datos!J31),Datos!K31/Datos!J31," - ")</f>
        <v>1.0360750360750361</v>
      </c>
      <c r="AO31" s="1120">
        <f>IF(ISNUMBER(FIND("06",Criterios!A8,1)),(IF(ISNUMBER(((Datos!R31/Datos!Q31)*11)/factor_trimestre),((Datos!R31/Datos!Q31)*11)/factor_trimestre," - ")),(IF(ISNUMBER(((Datos!L31/Datos!K31)*11)/factor_trimestre),((Datos!L31/Datos!K31)*11)/factor_trimestre," - ")))</f>
        <v>3.9463788300835656</v>
      </c>
      <c r="AP31" s="1131" t="str">
        <f>IF(ISNUMBER(Datos!CI31/Datos!CJ31),Datos!CI31/Datos!CJ31," - ")</f>
        <v xml:space="preserve"> - </v>
      </c>
      <c r="AQ31" s="1131">
        <f>IF(OR(ISNUMBER(FIND("01",Criterios!A8,1)),ISNUMBER(FIND("02",Criterios!A8,1)),ISNUMBER(FIND("03",Criterios!A8,1)),ISNUMBER(FIND("04",Criterios!A8,1))),(J31-Y31+K31)/(F31-K31),(I31-Y31+K31)/(F31-K31))</f>
        <v>-1.0183546378236643</v>
      </c>
      <c r="AR31" s="1131">
        <f>IF(ISNUMBER((Datos!P31-Datos!Q31+O31)/(Datos!R31-Datos!P31+Datos!Q31-O31)),(Datos!P31-Datos!Q31+O31)/(Datos!R31-Datos!P31+Datos!Q31-O31)," - ")</f>
        <v>2.0528711145540814E-2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800.5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1439.1644235789176</v>
      </c>
      <c r="G33" s="674">
        <f>IF(ISNUMBER(STDEV(G8:G30)),STDEV(G8:G30),"-")</f>
        <v>1392.1428498130911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207.53837663858167</v>
      </c>
      <c r="AK33" s="276"/>
      <c r="AL33" s="276">
        <f>IF(ISNUMBER(STDEV(AL8:AL30)),STDEV(AL8:AL30),"-")</f>
        <v>0</v>
      </c>
      <c r="AM33" s="278">
        <f>IF(ISNUMBER(STDEV(AM8:AM30)),STDEV(AM8:AM30),"-")</f>
        <v>0</v>
      </c>
      <c r="AN33" s="660">
        <f>IF(ISNUMBER(STDEV(AN8:AN30)),STDEV(AN8:AN30),"-")</f>
        <v>0</v>
      </c>
      <c r="AO33" s="661">
        <f>IF(ISNUMBER(STDEV(AO8:AO30)),STDEV(AO8:AO30),"-")</f>
        <v>2.1861520527986733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2a80GJeZYxz2iRrZ+tKBhuuU8dyxN8AogHzRAxuzLqd/+eH9kraoovhRj+Sq9BsMjr3C77FBYP2uyhrlR0qIA==" saltValue="KhQD2DFGziTZLqy6B2Ct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oqZIRz7Q1az9ouOG3ZMhl83HlVTmnVc5Xw5k5SPgmL+Xo6FBQ/JlGZK+TW4V4uMMKk+4SEkm6xPsed4ACNE0A==" saltValue="/XmT60ru7OC7b/isT9Gm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lcGRvN68bgJBFOgzTfnJfanwTtMR90OlulNo7f47pK9oCZY09lYePKKyH44zaCFEVhzXvnlbe8egL85xQo1RA==" saltValue="iUd8ksUNE20pR1AVqXSD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LAS PALMAS  Resumenes por Partidos Judiciales  SAN BARTOLOME DE TIRAJANA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0.1606886657101865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0.11362404518349113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htvGM98NTQX/C7ibKr8QlRRv5KSCdwqUh0Fkh5d23zDRLSI3O2o7TYz/1G0GSWw5YsWaUBa/CYrOJWFj1El3g==" saltValue="vu2qjfIjz/zRR2aw36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6np9CwwyHCGsK51nxieoMBpQpanxxN4ue9JCsJiDVBc4I1SYLSPbO0ryN3/psNqjVKhhNLgXzKCxpx0A1X1x0A==" saltValue="Q03RwzDRzrx2kPIbQgkH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LAS PALMAS</v>
      </c>
      <c r="D3" s="436"/>
      <c r="E3" s="436"/>
      <c r="F3" s="436"/>
    </row>
    <row r="4" spans="1:14" ht="13.5" thickBot="1">
      <c r="A4" s="436"/>
      <c r="B4" s="439" t="str">
        <f>Criterios!A11 &amp;"  "&amp;Criterios!B11</f>
        <v>Resumenes por Partidos Judiciales  SAN BARTOLOME DE TIRAJANA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8522</v>
      </c>
      <c r="D9" s="452">
        <f>IF(ISNUMBER(C9/Datos!BH9),C9/Datos!BH9," - ")</f>
        <v>1704.4</v>
      </c>
      <c r="E9" s="451">
        <f>IF(ISNUMBER(IF(J_V="SI",Datos!J9,Datos!J9+Datos!Z9)),IF(J_V="SI",Datos!J9,Datos!J9+Datos!Z9)," - ")</f>
        <v>2604</v>
      </c>
      <c r="F9" s="452">
        <f>IF(ISNUMBER(E9/B9),E9/B9," - ")</f>
        <v>520.79999999999995</v>
      </c>
      <c r="G9" s="451">
        <f>IF(ISNUMBER(IF(J_V="SI",Datos!K9,Datos!K9+Datos!AA9)),IF(J_V="SI",Datos!K9,Datos!K9+Datos!AA9)," - ")</f>
        <v>2761</v>
      </c>
      <c r="H9" s="452">
        <f>IF(ISNUMBER(G9/B9),G9/B9," - ")</f>
        <v>552.20000000000005</v>
      </c>
      <c r="I9" s="451">
        <f>IF(ISNUMBER(IF(J_V="SI",Datos!L9,Datos!L9+Datos!AB9)),IF(J_V="SI",Datos!L9,Datos!L9+Datos!AB9)," - ")</f>
        <v>8365</v>
      </c>
      <c r="J9" s="452">
        <f>IF(ISNUMBER(I9/B9),I9/B9," - ")</f>
        <v>1673</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68</v>
      </c>
      <c r="D10" s="452">
        <f>IF(ISNUMBER(C10/Datos!BH10),C10/Datos!BH10," - ")</f>
        <v>68</v>
      </c>
      <c r="E10" s="451">
        <f>IF(ISNUMBER(Datos!J10),Datos!J10," - ")</f>
        <v>28</v>
      </c>
      <c r="F10" s="452">
        <f>IF(ISNUMBER(E10/B10),E10/B10," - ")</f>
        <v>28</v>
      </c>
      <c r="G10" s="451">
        <f>IF(ISNUMBER(Datos!K10),Datos!K10," - ")</f>
        <v>27</v>
      </c>
      <c r="H10" s="452">
        <f>IF(ISNUMBER(G10/B10),G10/B10," - ")</f>
        <v>27</v>
      </c>
      <c r="I10" s="451">
        <f>IF(ISNUMBER(Datos!L10),Datos!L10," - ")</f>
        <v>69</v>
      </c>
      <c r="J10" s="452">
        <f>IF(ISNUMBER(I10/B10),I10/B10," - ")</f>
        <v>69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6</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6</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8596</v>
      </c>
      <c r="D14" s="1147" t="str">
        <f>IF(ISNUMBER(C14/Datos!BI14),C14/Datos!BI14," - ")</f>
        <v xml:space="preserve"> - </v>
      </c>
      <c r="E14" s="1146">
        <f>SUBTOTAL(9,E8:E13)</f>
        <v>2632</v>
      </c>
      <c r="F14" s="1147">
        <f>IF(ISNUMBER(E14/B14),E14/B14," - ")</f>
        <v>438.66666666666669</v>
      </c>
      <c r="G14" s="1146">
        <f>SUBTOTAL(9,G8:G13)</f>
        <v>2788</v>
      </c>
      <c r="H14" s="1147">
        <f>IF(ISNUMBER(G14/B14),G14/B14," - ")</f>
        <v>464.66666666666669</v>
      </c>
      <c r="I14" s="1146">
        <f>SUBTOTAL(9,I8:I13)</f>
        <v>8440</v>
      </c>
      <c r="J14" s="1147">
        <f>IF(ISNUMBER(I14/B14),I14/B14," - ")</f>
        <v>1406.6666666666667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2973</v>
      </c>
      <c r="D16" s="452">
        <f>IF(ISNUMBER(C16/Datos!BH16),C16/Datos!BH16," - ")</f>
        <v>991</v>
      </c>
      <c r="E16" s="451">
        <f>IF(ISNUMBER(IF(D_I="SI",Datos!J16,Datos!J16+Datos!AD16)),IF(D_I="SI",Datos!J16,Datos!J16+Datos!AD16)," - ")</f>
        <v>2703</v>
      </c>
      <c r="F16" s="452">
        <f>IF(ISNUMBER(E16/B16),E16/B16," - ")</f>
        <v>901</v>
      </c>
      <c r="G16" s="451">
        <f>IF(ISNUMBER(IF(D_I="SI",Datos!K16,Datos!K16+Datos!AE16)),IF(D_I="SI",Datos!K16,Datos!K16+Datos!AE16)," - ")</f>
        <v>2824</v>
      </c>
      <c r="H16" s="452">
        <f>IF(ISNUMBER(G16/B16),G16/B16," - ")</f>
        <v>941.33333333333337</v>
      </c>
      <c r="I16" s="451">
        <f>IF(ISNUMBER(IF(D_I="SI",Datos!L16,Datos!L16+Datos!AF16)),IF(D_I="SI",Datos!L16,Datos!L16+Datos!AF16)," - ")</f>
        <v>2852</v>
      </c>
      <c r="J16" s="452">
        <f>IF(ISNUMBER(I16/B16),I16/B16," - ")</f>
        <v>950.66666666666663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10</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10</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151</v>
      </c>
      <c r="D18" s="452">
        <f>IF(ISNUMBER(C18/Datos!BH18),C18/Datos!BH18," - ")</f>
        <v>151</v>
      </c>
      <c r="E18" s="451">
        <f>IF(ISNUMBER(IF(D_I="SI",Datos!J18,Datos!J18+Datos!AD18)),IF(D_I="SI",Datos!J18,Datos!J18+Datos!AD18)," - ")</f>
        <v>291</v>
      </c>
      <c r="F18" s="452">
        <f>IF(ISNUMBER(E18/B18),E18/B18," - ")</f>
        <v>291</v>
      </c>
      <c r="G18" s="451">
        <f>IF(ISNUMBER(IF(D_I="SI",Datos!K18,Datos!K18+Datos!AE18)),IF(D_I="SI",Datos!K18,Datos!K18+Datos!AE18)," - ")</f>
        <v>256</v>
      </c>
      <c r="H18" s="452">
        <f>IF(ISNUMBER(G18/B18),G18/B18," - ")</f>
        <v>256</v>
      </c>
      <c r="I18" s="451">
        <f>IF(ISNUMBER(IF(D_I="SI",Datos!L18,Datos!L18+Datos!AF18)),IF(D_I="SI",Datos!L18,Datos!L18+Datos!AF18)," - ")</f>
        <v>186</v>
      </c>
      <c r="J18" s="452">
        <f>IF(ISNUMBER(I18/B18),I18/B18," - ")</f>
        <v>186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3134</v>
      </c>
      <c r="D23" s="1147" t="str">
        <f>IF(ISNUMBER(C23/Datos!BI23),C23/Datos!BI23," - ")</f>
        <v xml:space="preserve"> - </v>
      </c>
      <c r="E23" s="1146">
        <f>SUBTOTAL(9,E15:E22)</f>
        <v>2994</v>
      </c>
      <c r="F23" s="1147">
        <f>IF(ISNUMBER(E23/B23),E23/B23," - ")</f>
        <v>748.5</v>
      </c>
      <c r="G23" s="1146">
        <f>SUBTOTAL(9,G15:G22)</f>
        <v>3080</v>
      </c>
      <c r="H23" s="1147">
        <f>IF(ISNUMBER(G23/B23),G23/B23," - ")</f>
        <v>770</v>
      </c>
      <c r="I23" s="1146">
        <f>SUBTOTAL(9,I15:I22)</f>
        <v>3048</v>
      </c>
      <c r="J23" s="1147">
        <f>IF(ISNUMBER(I23/B23),I23/B23," - ")</f>
        <v>762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9</v>
      </c>
      <c r="C31" s="1084">
        <f>SUBTOTAL(9,C9:C30)</f>
        <v>11730</v>
      </c>
      <c r="D31" s="1085" t="str">
        <f>IF(ISNUMBER(C31/Datos!BI31),C31/Datos!BI31," - ")</f>
        <v xml:space="preserve"> - </v>
      </c>
      <c r="E31" s="1084">
        <f>SUBTOTAL(9,E9:E30)</f>
        <v>5626</v>
      </c>
      <c r="F31" s="1085">
        <f>IF(ISNUMBER(E31/B31),E31/B31," - ")</f>
        <v>625.11111111111109</v>
      </c>
      <c r="G31" s="1084">
        <f>SUBTOTAL(9,G9:G30)</f>
        <v>5868</v>
      </c>
      <c r="H31" s="1085">
        <f>IF(ISNUMBER(G31/B31),G31/B31," - ")</f>
        <v>652</v>
      </c>
      <c r="I31" s="1084">
        <f>SUBTOTAL(9,I9:I30)</f>
        <v>11488</v>
      </c>
      <c r="J31" s="1085">
        <f>IF(ISNUMBER(I31/B31),I31/B31," - ")</f>
        <v>1276.4444444444443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eltD1icav4hlK/4GRfgLM3OOmqbt/vkwAh72a92oUkFjm69OpTa9Cg3f7vvnoV6X7Lfr3JkOGgSv5hSYxu+Xw==" saltValue="3Xz+Vpelr/mP9rWONYrs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LAS PALMAS  Resumenes por Partidos Judiciales  SAN BARTOLOME DE TIRAJANA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68</v>
      </c>
      <c r="G10" s="906">
        <f>IF(ISNUMBER(Datos!I10),Datos!I10," - ")</f>
        <v>68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27</v>
      </c>
      <c r="AC10" s="905" t="str">
        <f>IF(ISNUMBER(IF(D_I="SI",DatosP!K18,DatosP!K18+DatosP!AE18)),IF(D_I="SI",DatosP!K18,DatosP!K18+DatosP!AE18)," - ")</f>
        <v xml:space="preserve"> - </v>
      </c>
      <c r="AD10" s="907"/>
      <c r="AE10" s="907"/>
      <c r="AF10" s="910">
        <f>IF(ISNUMBER(Datos!L10),Datos!L10,"-")</f>
        <v>69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5.1111111111111107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1</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-1.8461538461538463E-2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68</v>
      </c>
      <c r="G14" s="1256">
        <f t="shared" si="0"/>
        <v>68</v>
      </c>
      <c r="H14" s="1256">
        <f t="shared" si="0"/>
        <v>0</v>
      </c>
      <c r="I14" s="1258">
        <f t="shared" si="0"/>
        <v>0</v>
      </c>
      <c r="J14" s="1257">
        <f t="shared" si="0"/>
        <v>0</v>
      </c>
      <c r="K14" s="1257">
        <f t="shared" si="0"/>
        <v>0</v>
      </c>
      <c r="L14" s="1259">
        <f t="shared" si="0"/>
        <v>0</v>
      </c>
      <c r="M14" s="1259">
        <f t="shared" si="0"/>
        <v>0</v>
      </c>
      <c r="N14" s="1257">
        <f t="shared" si="0"/>
        <v>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27</v>
      </c>
      <c r="AC14" s="1257">
        <f t="shared" si="1"/>
        <v>0</v>
      </c>
      <c r="AD14" s="1257">
        <f t="shared" si="1"/>
        <v>12</v>
      </c>
      <c r="AE14" s="1257">
        <f t="shared" si="1"/>
        <v>0</v>
      </c>
      <c r="AF14" s="1257">
        <f t="shared" si="1"/>
        <v>69</v>
      </c>
      <c r="AG14" s="1257">
        <f t="shared" si="1"/>
        <v>0</v>
      </c>
      <c r="AH14" s="1257">
        <f t="shared" si="1"/>
        <v>638</v>
      </c>
      <c r="AI14" s="1257">
        <f t="shared" si="1"/>
        <v>0</v>
      </c>
      <c r="AJ14" s="1257">
        <f t="shared" si="1"/>
        <v>0</v>
      </c>
      <c r="AK14" s="1257">
        <f t="shared" si="1"/>
        <v>0</v>
      </c>
      <c r="AL14" s="1257">
        <f t="shared" si="1"/>
        <v>11</v>
      </c>
      <c r="AM14" s="1257">
        <f t="shared" si="1"/>
        <v>8</v>
      </c>
      <c r="AN14" s="1257">
        <f t="shared" si="1"/>
        <v>0</v>
      </c>
      <c r="AO14" s="1257">
        <f t="shared" si="1"/>
        <v>0</v>
      </c>
      <c r="AP14" s="1262">
        <f>IF(ISNUMBER(((Datos!L14/Datos!K14)*11)/factor_trimestre),((Datos!L14/Datos!K14)*11)/factor_trimestre," - ")</f>
        <v>6.2207207207207205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-0.39705882352941174</v>
      </c>
      <c r="AU14" s="1257" t="str">
        <f>IF(ISNUMBER((DatosP!#REF!-DatosP!#REF!+DatosP!#REF!)/(DatosP!#REF!+DatosP!#REF!-DatosP!#REF!-DatosP!#REF!)),(DatosP!#REF!-DatosP!#REF!+DatosP!#REF!)/(DatosP!#REF!+DatosP!#REF!-DatosP!#REF!-DatosP!#REF!)," - ")</f>
        <v xml:space="preserve"> - </v>
      </c>
      <c r="AV14" s="1263">
        <f>SUBTOTAL(9,AV9:AV13)</f>
        <v>-1.8461538461538463E-2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1.9792207792207792</v>
      </c>
      <c r="AQ23" s="1262">
        <f>IF(ISNUMBER(((Datos!M23/Datos!L23)*11)/factor_trimestre),((Datos!M23/Datos!L23)*11)/factor_trimestre," - ")</f>
        <v>0.26640419947506561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2.2857142857142857E-2</v>
      </c>
      <c r="AW23" s="1265">
        <f>IF(ISNUMBER((Datos!Q23-Datos!R23)/(Datos!S23-Datos!Q23+Datos!R23)),(Datos!Q23-Datos!R23)/(Datos!S23-Datos!Q23+Datos!R23)," - ")</f>
        <v>-8.1152602175830632E-2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68</v>
      </c>
      <c r="G31" s="1278">
        <f t="shared" si="8"/>
        <v>68</v>
      </c>
      <c r="H31" s="1278">
        <f t="shared" si="8"/>
        <v>0</v>
      </c>
      <c r="I31" s="1279">
        <f t="shared" si="8"/>
        <v>0</v>
      </c>
      <c r="J31" s="1280">
        <f t="shared" si="8"/>
        <v>0</v>
      </c>
      <c r="K31" s="1280">
        <f t="shared" si="8"/>
        <v>0</v>
      </c>
      <c r="L31" s="1280">
        <f t="shared" si="8"/>
        <v>0</v>
      </c>
      <c r="M31" s="1280">
        <f t="shared" si="8"/>
        <v>0</v>
      </c>
      <c r="N31" s="1279">
        <f t="shared" si="8"/>
        <v>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27</v>
      </c>
      <c r="AC31" s="1284">
        <f t="shared" si="9"/>
        <v>0</v>
      </c>
      <c r="AD31" s="1284">
        <f t="shared" si="9"/>
        <v>12</v>
      </c>
      <c r="AE31" s="1284">
        <f t="shared" si="9"/>
        <v>0</v>
      </c>
      <c r="AF31" s="1285">
        <f t="shared" si="9"/>
        <v>69</v>
      </c>
      <c r="AG31" s="1285">
        <f t="shared" si="9"/>
        <v>0</v>
      </c>
      <c r="AH31" s="1285">
        <f t="shared" si="9"/>
        <v>638</v>
      </c>
      <c r="AI31" s="1285">
        <f t="shared" si="9"/>
        <v>0</v>
      </c>
      <c r="AJ31" s="1286">
        <f t="shared" si="9"/>
        <v>0</v>
      </c>
      <c r="AK31" s="1286">
        <f t="shared" si="9"/>
        <v>0</v>
      </c>
      <c r="AL31" s="1278">
        <f t="shared" si="9"/>
        <v>11</v>
      </c>
      <c r="AM31" s="1278">
        <f t="shared" si="9"/>
        <v>8</v>
      </c>
      <c r="AN31" s="1278">
        <f t="shared" si="9"/>
        <v>0</v>
      </c>
      <c r="AO31" s="1278">
        <f t="shared" si="9"/>
        <v>0</v>
      </c>
      <c r="AP31" s="1278">
        <f>IF(ISNUMBER(((Datos!L31/Datos!K31)*11)/factor_trimestre),((Datos!L31/Datos!K31)*11)/factor_trimestre," - ")</f>
        <v>3.9463788300835656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-0.39705882352941174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2.0528711145540814E-2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37.245133910351299</v>
      </c>
      <c r="G33" s="1007">
        <f>IF(ISNUMBER(STDEV(G8:G30)),STDEV(G8:G30),"-")</f>
        <v>37.245133910351299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14.788509052639485</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2.1996322529940526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BZ0JN8qWdsDCDV+Wv31dxz0ojI04qFe7xzdJj+/UBmdgqnjwDtfHmFIcP6FkD2h1U0vjcqaKZyZ06Lr1ebTwg==" saltValue="fdCCN2uBRSzgy+D/wEHT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LAS PALMAS</v>
      </c>
      <c r="C3" s="463"/>
      <c r="F3" s="436"/>
      <c r="G3" s="436"/>
      <c r="H3" s="436"/>
    </row>
    <row r="4" spans="1:15" ht="13.5" thickBot="1">
      <c r="A4" s="436"/>
      <c r="B4" s="439" t="str">
        <f>Criterios!A11 &amp;"  "&amp;Criterios!B11</f>
        <v>Resumenes por Partidos Judiciales  SAN BARTOLOME DE TIRAJANA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xboGIsz5CW0n0cSxCQo6oPcUxTmv3EWZLtdwy6it5rqnuA2DExkfipiQqI6XsSqw1RwrChrU43D13eYe0dhEw==" saltValue="YXLuPdUqAtzdRRh7xSps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LAS PALMAS</v>
      </c>
      <c r="C3" s="475"/>
      <c r="D3" s="476"/>
    </row>
    <row r="4" spans="1:9" ht="13.5" thickBot="1">
      <c r="B4" s="477" t="str">
        <f>Criterios!A11 &amp;"  "&amp;Criterios!B11</f>
        <v>Resumenes por Partidos Judiciales  SAN BARTOLOME DE TIRAJANA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437</v>
      </c>
      <c r="E9" s="452">
        <f t="shared" ref="E9:E14" si="0">IF(ISNUMBER(D9/B9),D9/B9," - ")</f>
        <v>87.4</v>
      </c>
      <c r="F9" s="451">
        <f>IF(ISNUMBER(Datos!N9),Datos!N9," - ")</f>
        <v>1205</v>
      </c>
      <c r="G9" s="452">
        <f t="shared" ref="G9:G14" si="1">IF(ISNUMBER(F9/B9),F9/B9," - ")</f>
        <v>241</v>
      </c>
      <c r="H9" s="451">
        <f>IF(ISNUMBER(Datos!O9),Datos!O9," - ")</f>
        <v>686</v>
      </c>
      <c r="I9" s="452">
        <f>IF(ISNUMBER(H9/B9),H9/B9," - ")</f>
        <v>137.19999999999999</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7</v>
      </c>
      <c r="G10" s="452">
        <f>IF(ISNUMBER(F10/B10),F10/B10," - ")</f>
        <v>7</v>
      </c>
      <c r="H10" s="451">
        <f>IF(ISNUMBER(Datos!O10),Datos!O10," - ")</f>
        <v>12</v>
      </c>
      <c r="I10" s="452">
        <f t="shared" ref="I10:I13" si="2">IF(ISNUMBER(H10/B10),H10/B10," - ")</f>
        <v>12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1</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448</v>
      </c>
      <c r="E14" s="1147">
        <f t="shared" si="0"/>
        <v>74.666666666666671</v>
      </c>
      <c r="F14" s="1146">
        <f>SUBTOTAL(9,F9:F13)</f>
        <v>1213</v>
      </c>
      <c r="G14" s="1147">
        <f t="shared" si="1"/>
        <v>202.16666666666666</v>
      </c>
      <c r="H14" s="1146">
        <f>SUBTOTAL(9,H9:H13)</f>
        <v>698</v>
      </c>
      <c r="I14" s="1147">
        <f>IF(ISNUMBER(H14/B14),H14/B14," - ")</f>
        <v>116.33333333333333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345</v>
      </c>
      <c r="E16" s="452">
        <f t="shared" ref="E16:E23" si="3">IF(ISNUMBER(D16/B16),D16/B16," - ")</f>
        <v>115</v>
      </c>
      <c r="F16" s="451">
        <f>IF(ISNUMBER(Datos!N16),Datos!N16," - ")</f>
        <v>1785</v>
      </c>
      <c r="G16" s="452">
        <f t="shared" ref="G16:G23" si="4">IF(ISNUMBER(F16/B16),F16/B16," - ")</f>
        <v>595</v>
      </c>
      <c r="H16" s="451">
        <f>IF(ISNUMBER(Datos!O16),Datos!O16," - ")</f>
        <v>12</v>
      </c>
      <c r="I16" s="452">
        <f t="shared" ref="I16:I22" si="5">IF(ISNUMBER(H16/B16),H16/B16," - ")</f>
        <v>4</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61</v>
      </c>
      <c r="E18" s="452">
        <f>IF(ISNUMBER(D18/B18),D18/B18," - ")</f>
        <v>61</v>
      </c>
      <c r="F18" s="451">
        <f>IF(ISNUMBER(Datos!N18),Datos!N18," - ")</f>
        <v>179</v>
      </c>
      <c r="G18" s="452">
        <f>IF(ISNUMBER(F18/B18),F18/B18," - ")</f>
        <v>179</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406</v>
      </c>
      <c r="E23" s="1147">
        <f t="shared" si="3"/>
        <v>101.5</v>
      </c>
      <c r="F23" s="1146">
        <f>SUBTOTAL(9,F16:F22)</f>
        <v>1964</v>
      </c>
      <c r="G23" s="1147">
        <f t="shared" si="4"/>
        <v>491</v>
      </c>
      <c r="H23" s="1146">
        <f>SUBTOTAL(9,H16:H22)</f>
        <v>16</v>
      </c>
      <c r="I23" s="1147">
        <f>IF(ISNUMBER(H23/B23),H23/B23," - ")</f>
        <v>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9</v>
      </c>
      <c r="C31" s="1084">
        <f>Datos!AR31</f>
        <v>9</v>
      </c>
      <c r="D31" s="1084">
        <f>SUBTOTAL(9,D8:D30)</f>
        <v>854</v>
      </c>
      <c r="E31" s="1085">
        <f>IF(ISNUMBER(D31/B31),D31/B31," - ")</f>
        <v>94.888888888888886</v>
      </c>
      <c r="F31" s="1084">
        <f>SUBTOTAL(9,F8:F30)</f>
        <v>3177</v>
      </c>
      <c r="G31" s="1085">
        <f>IF(ISNUMBER(F31/B31),F31/B31," - ")</f>
        <v>353</v>
      </c>
      <c r="H31" s="1084">
        <f>SUBTOTAL(9,H8:H30)</f>
        <v>714</v>
      </c>
      <c r="I31" s="1085">
        <f>IF(ISNUMBER(H31/B31),H31/B31," - ")</f>
        <v>79.333333333333329</v>
      </c>
    </row>
    <row r="34" spans="1:1">
      <c r="A34" s="439" t="str">
        <f>Criterios!A4</f>
        <v>Fecha Informe: 06 may. 2023</v>
      </c>
    </row>
    <row r="39" spans="1:1">
      <c r="A39" s="462"/>
    </row>
  </sheetData>
  <sheetProtection algorithmName="SHA-512" hashValue="4zNjlqmNl5YV0nuhhi9kK4XEQhDQBpyomGbb6hHRZ37vyPCU5Gux+KmZc7cEaiG688ZSltYk2xJOJen3EAt3Tg==" saltValue="mDYgXU8wLbcpoV9pJnYl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LAS PALMAS</v>
      </c>
    </row>
    <row r="4" spans="1:4" ht="13.5" thickBot="1">
      <c r="B4" s="439" t="str">
        <f>Criterios!A11 &amp;"  "&amp;Criterios!B11</f>
        <v>Resumenes por Partidos Judiciales  SAN BARTOLOME DE TIRAJANA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502</v>
      </c>
      <c r="C9" s="489">
        <f>IF(ISNUMBER(Datos!Q9),Datos!Q9," - ")</f>
        <v>286</v>
      </c>
      <c r="D9" s="456">
        <f>IF(ISNUMBER(Datos!R9),Datos!R9," - ")</f>
        <v>9494</v>
      </c>
    </row>
    <row r="10" spans="1:4">
      <c r="A10" s="450" t="str">
        <f>Datos!A10</f>
        <v>Jdos. Violencia contra la mujer</v>
      </c>
      <c r="B10" s="488">
        <f>IF(ISNUMBER(Datos!P10),Datos!P10," - ")</f>
        <v>3</v>
      </c>
      <c r="C10" s="489">
        <f>IF(ISNUMBER(Datos!Q10),Datos!Q10," - ")</f>
        <v>3</v>
      </c>
      <c r="D10" s="456">
        <f>IF(ISNUMBER(Datos!R10),Datos!R10," - ")</f>
        <v>49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12</v>
      </c>
      <c r="D12" s="456">
        <f>IF(ISNUMBER(Datos!R12),Datos!R12," - ")</f>
        <v>638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505</v>
      </c>
      <c r="C14" s="1150">
        <f>SUBTOTAL(9,C9:C13)</f>
        <v>301</v>
      </c>
      <c r="D14" s="1148">
        <f>SUBTOTAL(9,D9:D13)</f>
        <v>10181</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76</v>
      </c>
      <c r="C16" s="489">
        <f>IF(ISNUMBER(Datos!Q16),Datos!Q16," - ")</f>
        <v>78</v>
      </c>
      <c r="D16" s="456">
        <f>IF(ISNUMBER(Datos!R16),Datos!R16," - ")</f>
        <v>328</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14</v>
      </c>
      <c r="C18" s="489">
        <f>IF(ISNUMBER(Datos!Q18),Datos!Q18," - ")</f>
        <v>4</v>
      </c>
      <c r="D18" s="456">
        <f>IF(ISNUMBER(Datos!R18),Datos!R18," - ")</f>
        <v>28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90</v>
      </c>
      <c r="C23" s="1150">
        <f>SUBTOTAL(9,C16:C22)</f>
        <v>82</v>
      </c>
      <c r="D23" s="1148">
        <f>SUBTOTAL(9,D16:D22)</f>
        <v>358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595</v>
      </c>
      <c r="C31" s="1089">
        <f>SUBTOTAL(9,C8:C30)</f>
        <v>383</v>
      </c>
      <c r="D31" s="1090">
        <f>SUBTOTAL(9,D8:D30)</f>
        <v>10539</v>
      </c>
    </row>
    <row r="32" spans="1:4" ht="7.5" customHeight="1"/>
    <row r="33" spans="1:1" ht="6" customHeight="1"/>
    <row r="34" spans="1:1">
      <c r="A34" s="439" t="str">
        <f>Criterios!A4</f>
        <v>Fecha Informe: 06 may. 2023</v>
      </c>
    </row>
    <row r="39" spans="1:1">
      <c r="A39" s="462"/>
    </row>
  </sheetData>
  <sheetProtection algorithmName="SHA-512" hashValue="tEIMZxWY+0SjZJylPjkNOFMmMO06OuGaSrklGmJeCpYBkkQoS8Jzi+z3jpnKRLMN+yUFvcsx2mRvrQgRJna8NA==" saltValue="hUlPzwfVyKFQg1tb2x/n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LAS PALMAS</v>
      </c>
    </row>
    <row r="4" spans="1:11" ht="10.5" customHeight="1" thickBot="1">
      <c r="B4" s="439" t="str">
        <f>Criterios!A11 &amp;"  "&amp;Criterios!B11</f>
        <v>Resumenes por Partidos Judiciales  SAN BARTOLOME DE TIRAJANA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0.21760251464494929</v>
      </c>
      <c r="C9" s="515">
        <f>IF(ISNUMBER(
   IF(J_V="SI",(Datos!J9-Datos!T9)/Datos!T9,(Datos!J9+Datos!Z9-(Datos!T9+Datos!AH9))/(Datos!T9+Datos!AH9))
     ),IF(J_V="SI",(Datos!J9-Datos!T9)/Datos!T9,(Datos!J9+Datos!Z9-(Datos!T9+Datos!AH9))/(Datos!T9+Datos!AH9))," - ")</f>
        <v>0.21285514671634839</v>
      </c>
      <c r="D9" s="515">
        <f>IF(ISNUMBER(
   IF(J_V="SI",(Datos!K9-Datos!U9)/Datos!U9,(Datos!K9+Datos!AA9-(Datos!U9+Datos!AI9))/(Datos!U9+Datos!AI9))
     ),IF(J_V="SI",(Datos!K9-Datos!U9)/Datos!U9,(Datos!K9+Datos!AA9-(Datos!U9+Datos!AI9))/(Datos!U9+Datos!AI9))," - ")</f>
        <v>0.50381263616557737</v>
      </c>
      <c r="E9" s="515">
        <f>IF(ISNUMBER(
   IF(J_V="SI",(Datos!L9-Datos!V9)/Datos!V9,(Datos!L9+Datos!AB9-(Datos!V9+Datos!AJ9))/(Datos!V9+Datos!AJ9))
     ),IF(J_V="SI",(Datos!L9-Datos!V9)/Datos!V9,(Datos!L9+Datos!AB9-(Datos!V9+Datos!AJ9))/(Datos!V9+Datos!AJ9))," - ")</f>
        <v>0.14432284541723667</v>
      </c>
      <c r="F9" s="515">
        <f>IF(ISNUMBER((Datos!M9-Datos!W9)/Datos!W9),(Datos!M9-Datos!W9)/Datos!W9," - ")</f>
        <v>0.11195928753180662</v>
      </c>
      <c r="G9" s="516">
        <f>IF(ISNUMBER((Datos!N9-Datos!X9)/Datos!X9),(Datos!N9-Datos!X9)/Datos!X9," - ")</f>
        <v>0.53113087674714099</v>
      </c>
      <c r="H9" s="514">
        <f>IF(ISNUMBER(((NºAsuntos!G9/NºAsuntos!E9)-Datos!BD9)/Datos!BD9),((NºAsuntos!G9/NºAsuntos!E9)-Datos!BD9)/Datos!BD9," - ")</f>
        <v>0.23989467352054311</v>
      </c>
      <c r="I9" s="515">
        <f>IF(ISNUMBER(((NºAsuntos!I9/NºAsuntos!G9)-Datos!BE9)/Datos!BE9),((NºAsuntos!I9/NºAsuntos!G9)-Datos!BE9)/Datos!BE9," - ")</f>
        <v>-0.23905224766894367</v>
      </c>
      <c r="J9" s="521">
        <f>IF(ISNUMBER((('Resol  Asuntos'!D9/NºAsuntos!G9)-Datos!BF9)/Datos!BF9),(('Resol  Asuntos'!D9/NºAsuntos!G9)-Datos!BF9)/Datos!BF9," - ")</f>
        <v>-0.63075640144746181</v>
      </c>
      <c r="K9" s="522">
        <f>IF(ISNUMBER((((NºAsuntos!C9+NºAsuntos!E9)/NºAsuntos!G9)-Datos!BG9)/Datos!BG9),(((NºAsuntos!C9+NºAsuntos!E9)/NºAsuntos!G9)-Datos!BG9)/Datos!BG9," - ")</f>
        <v>-0.19106406412201823</v>
      </c>
    </row>
    <row r="10" spans="1:11">
      <c r="A10" s="450" t="str">
        <f>Datos!A10</f>
        <v>Jdos. Violencia contra la mujer</v>
      </c>
      <c r="B10" s="514">
        <f>IF(ISNUMBER((Datos!I10-Datos!S10)/Datos!S10),(Datos!I10-Datos!S10)/Datos!S10," - ")</f>
        <v>-0.18072289156626506</v>
      </c>
      <c r="C10" s="515">
        <f>IF(ISNUMBER((Datos!J10-Datos!T10)/Datos!T10),(Datos!J10-Datos!T10)/Datos!T10," - ")</f>
        <v>0.33333333333333331</v>
      </c>
      <c r="D10" s="515">
        <f>IF(ISNUMBER((Datos!K10-Datos!U10)/Datos!U10),(Datos!K10-Datos!U10)/Datos!U10," - ")</f>
        <v>0.17391304347826086</v>
      </c>
      <c r="E10" s="515">
        <f>IF(ISNUMBER((Datos!L10-Datos!V10)/Datos!V10),(Datos!L10-Datos!V10)/Datos!V10," - ")</f>
        <v>-0.14814814814814814</v>
      </c>
      <c r="F10" s="515">
        <f>IF(ISNUMBER((Datos!M10-Datos!W10)/Datos!W10),(Datos!M10-Datos!W10)/Datos!W10," - ")</f>
        <v>0.22222222222222221</v>
      </c>
      <c r="G10" s="516">
        <f>IF(ISNUMBER((Datos!N10-Datos!X10)/Datos!X10),(Datos!N10-Datos!X10)/Datos!X10," - ")</f>
        <v>-0.36363636363636365</v>
      </c>
      <c r="H10" s="514">
        <f>IF(ISNUMBER(((NºAsuntos!G10/NºAsuntos!E10)-Datos!BD10)/Datos!BD10),((NºAsuntos!G10/NºAsuntos!E10)-Datos!BD10)/Datos!BD10," - ")</f>
        <v>-0.11956521739130442</v>
      </c>
      <c r="I10" s="515">
        <f>IF(ISNUMBER(((NºAsuntos!I10/NºAsuntos!G10)-Datos!BE10)/Datos!BE10),((NºAsuntos!I10/NºAsuntos!G10)-Datos!BE10)/Datos!BE10," - ")</f>
        <v>-0.27434842249657071</v>
      </c>
      <c r="J10" s="521">
        <f>IF(ISNUMBER((('Resol  Asuntos'!D10/NºAsuntos!G10)-Datos!BF10)/Datos!BF10),(('Resol  Asuntos'!D10/NºAsuntos!G10)-Datos!BF10)/Datos!BF10," - ")</f>
        <v>4.1152263374485493E-2</v>
      </c>
      <c r="K10" s="522">
        <f>IF(ISNUMBER((((NºAsuntos!C10+NºAsuntos!E10)/NºAsuntos!G10)-Datos!BG10)/Datos!BG10),(((NºAsuntos!C10+NºAsuntos!E10)/NºAsuntos!G10)-Datos!BG10)/Datos!BG10," - ")</f>
        <v>-0.21367521367521367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-0.5714285714285714</v>
      </c>
      <c r="C12" s="515" t="str">
        <f>IF(ISNUMBER(
   IF(J_V="SI",(Datos!J12-Datos!T12)/Datos!T12,(Datos!J12+Datos!Z12-(Datos!T12+Datos!AH12))/(Datos!T12+Datos!AH12))
     ),IF(J_V="SI",(Datos!J12-Datos!T12)/Datos!T12,(Datos!J12+Datos!Z12-(Datos!T12+Datos!AH12))/(Datos!T12+Datos!AH12))," - ")</f>
        <v xml:space="preserve"> - </v>
      </c>
      <c r="D12" s="515">
        <f>IF(ISNUMBER(
   IF(J_V="SI",(Datos!K12-Datos!U12)/Datos!U12,(Datos!K12+Datos!AA12-(Datos!U12+Datos!AI12))/(Datos!U12+Datos!AI12))
     ),IF(J_V="SI",(Datos!K12-Datos!U12)/Datos!U12,(Datos!K12+Datos!AA12-(Datos!U12+Datos!AI12))/(Datos!U12+Datos!AI12))," - ")</f>
        <v>-1</v>
      </c>
      <c r="E12" s="515">
        <f>IF(ISNUMBER(
   IF(J_V="SI",(Datos!L12-Datos!V12)/Datos!V12,(Datos!L12+Datos!AB12-(Datos!V12+Datos!AJ12))/(Datos!V12+Datos!AJ12))
     ),IF(J_V="SI",(Datos!L12-Datos!V12)/Datos!V12,(Datos!L12+Datos!AB12-(Datos!V12+Datos!AJ12))/(Datos!V12+Datos!AJ12))," - ")</f>
        <v>-0.53846153846153844</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0.21138669673055244</v>
      </c>
      <c r="C14" s="1152">
        <f>IF(ISNUMBER(
   IF(J_V="SI",(Datos!J14-Datos!T14)/Datos!T14,(Datos!J14+Datos!Z14-(Datos!T14+Datos!AH14))/(Datos!T14+Datos!AH14))
     ),IF(J_V="SI",(Datos!J14-Datos!T14)/Datos!T14,(Datos!J14+Datos!Z14-(Datos!T14+Datos!AH14))/(Datos!T14+Datos!AH14))," - ")</f>
        <v>0.2140221402214022</v>
      </c>
      <c r="D14" s="1152">
        <f>IF(ISNUMBER(
   IF(J_V="SI",(Datos!K14-Datos!U14)/Datos!U14,(Datos!K14+Datos!AA14-(Datos!U14+Datos!AI14))/(Datos!U14+Datos!AI14))
     ),IF(J_V="SI",(Datos!K14-Datos!U14)/Datos!U14,(Datos!K14+Datos!AA14-(Datos!U14+Datos!AI14))/(Datos!U14+Datos!AI14))," - ")</f>
        <v>0.49892473118279568</v>
      </c>
      <c r="E14" s="1152">
        <f>IF(ISNUMBER(
   IF(J_V="SI",(Datos!L14-Datos!V14)/Datos!V14,(Datos!L14+Datos!AB14-(Datos!V14+Datos!AJ14))/(Datos!V14+Datos!AJ14))
     ),IF(J_V="SI",(Datos!L14-Datos!V14)/Datos!V14,(Datos!L14+Datos!AB14-(Datos!V14+Datos!AJ14))/(Datos!V14+Datos!AJ14))," - ")</f>
        <v>0.13992436520799567</v>
      </c>
      <c r="F14" s="1153">
        <f>IF(ISNUMBER((Datos!M14-Datos!W14)/Datos!W14),(Datos!M14-Datos!W14)/Datos!W14," - ")</f>
        <v>0.11442786069651742</v>
      </c>
      <c r="G14" s="1154">
        <f>IF(ISNUMBER((Datos!N14-Datos!X14)/Datos!X14),(Datos!N14-Datos!X14)/Datos!X14," - ")</f>
        <v>0.52005012531328321</v>
      </c>
      <c r="H14" s="1154">
        <f>IF(ISNUMBER(((NºAsuntos!G14/NºAsuntos!E14)-Datos!BD14)/Datos!BD14),((NºAsuntos!G14/NºAsuntos!E14)-Datos!BD14)/Datos!BD14," - ")</f>
        <v>0.23467660228126944</v>
      </c>
      <c r="I14" s="1154">
        <f>IF(ISNUMBER(((NºAsuntos!I14/NºAsuntos!G14)-Datos!BE14)/Datos!BE14),((NºAsuntos!I14/NºAsuntos!G14)-Datos!BE14)/Datos!BE14," - ")</f>
        <v>-0.23950526567902722</v>
      </c>
      <c r="J14" s="1154">
        <f>IF(ISNUMBER((('Resol  Asuntos'!D14/NºAsuntos!G14)-Datos!BF14)/Datos!BF14),(('Resol  Asuntos'!D14/NºAsuntos!G14)-Datos!BF14)/Datos!BF14," - ")</f>
        <v>-0.62452145952142357</v>
      </c>
      <c r="K14" s="1154">
        <f>IF(ISNUMBER((((NºAsuntos!C14+NºAsuntos!E14)/NºAsuntos!G14)-Datos!BG14)/Datos!BG14),(((NºAsuntos!C14+NºAsuntos!E14)/NºAsuntos!G14)-Datos!BG14)/Datos!BG14," - ")</f>
        <v>-0.19141806855435206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-1.229235880398671E-2</v>
      </c>
      <c r="C16" s="515">
        <f>IF(ISNUMBER(
   IF(D_I="SI",(Datos!J16-Datos!T16)/Datos!T16,(Datos!J16+Datos!AD16-(Datos!T16+Datos!AL16))/(Datos!T16+Datos!AL16))
     ),IF(D_I="SI",(Datos!J16-Datos!T16)/Datos!T16,(Datos!J16+Datos!AD16-(Datos!T16+Datos!AL16))/(Datos!T16+Datos!AL16))," - ")</f>
        <v>3.2862055789071455E-2</v>
      </c>
      <c r="D16" s="515">
        <f>IF(ISNUMBER(
   IF(D_I="SI",(Datos!K16-Datos!U16)/Datos!U16,(Datos!K16+Datos!AE16-(Datos!U16+Datos!AM16))/(Datos!U16+Datos!AM16))
     ),IF(D_I="SI",(Datos!K16-Datos!U16)/Datos!U16,(Datos!K16+Datos!AE16-(Datos!U16+Datos!AM16))/(Datos!U16+Datos!AM16))," - ")</f>
        <v>0.11400394477317555</v>
      </c>
      <c r="E16" s="515">
        <f>IF(ISNUMBER(
   IF(D_I="SI",(Datos!L16-Datos!V16)/Datos!V16,(Datos!L16+Datos!AF16-(Datos!V16+Datos!AN16))/(Datos!V16+Datos!AN16))
     ),IF(D_I="SI",(Datos!L16-Datos!V16)/Datos!V16,(Datos!L16+Datos!AF16-(Datos!V16+Datos!AN16))/(Datos!V16+Datos!AN16))," - ")</f>
        <v>-7.7619663648124185E-2</v>
      </c>
      <c r="F16" s="515">
        <f>IF(ISNUMBER((Datos!M16-Datos!W16)/Datos!W16),(Datos!M16-Datos!W16)/Datos!W16," - ")</f>
        <v>0.24548736462093862</v>
      </c>
      <c r="G16" s="516">
        <f>IF(ISNUMBER((Datos!N16-Datos!X16)/Datos!X16),(Datos!N16-Datos!X16)/Datos!X16," - ")</f>
        <v>-5.5991041433370661E-4</v>
      </c>
      <c r="H16" s="514">
        <f>IF(ISNUMBER(((NºAsuntos!G16/NºAsuntos!E16)-Datos!BD16)/Datos!BD16),((NºAsuntos!G16/NºAsuntos!E16)-Datos!BD16)/Datos!BD16," - ")</f>
        <v>7.8560238058231646E-2</v>
      </c>
      <c r="I16" s="515">
        <f>IF(ISNUMBER(((NºAsuntos!I16/NºAsuntos!G16)-Datos!BE16)/Datos!BE16),((NºAsuntos!I16/NºAsuntos!G16)-Datos!BE16)/Datos!BE16," - ")</f>
        <v>-0.17201340203540905</v>
      </c>
      <c r="J16" s="521">
        <f>IF(ISNUMBER((('Resol  Asuntos'!D16/NºAsuntos!G16)-Datos!BF16)/Datos!BF16),(('Resol  Asuntos'!D16/NºAsuntos!G16)-Datos!BF16)/Datos!BF16," - ")</f>
        <v>0.11802778658430574</v>
      </c>
      <c r="K16" s="522">
        <f>IF(ISNUMBER((((NºAsuntos!C16+NºAsuntos!E16)/NºAsuntos!G16)-Datos!BG16)/Datos!BG16),(((NºAsuntos!C16+NºAsuntos!E16)/NºAsuntos!G16)-Datos!BG16)/Datos!BG16," - ")</f>
        <v>-9.4520248639325344E-2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-0.16666666666666666</v>
      </c>
      <c r="C17" s="515" t="str">
        <f>IF(ISNUMBER(
   IF(D_I="SI",(Datos!J17-Datos!T17)/Datos!T17,(Datos!J17+Datos!AD17-(Datos!T17+Datos!AL17))/(Datos!T17+Datos!AL17))
     ),IF(D_I="SI",(Datos!J17-Datos!T17)/Datos!T17,(Datos!J17+Datos!AD17-(Datos!T17+Datos!AL17))/(Datos!T17+Datos!AL17))," - ")</f>
        <v xml:space="preserve"> - </v>
      </c>
      <c r="D17" s="515">
        <f>IF(ISNUMBER(
   IF(D_I="SI",(Datos!K17-Datos!U17)/Datos!U17,(Datos!K17+Datos!AE17-(Datos!U17+Datos!AM17))/(Datos!U17+Datos!AM17))
     ),IF(D_I="SI",(Datos!K17-Datos!U17)/Datos!U17,(Datos!K17+Datos!AE17-(Datos!U17+Datos!AM17))/(Datos!U17+Datos!AM17))," - ")</f>
        <v>-1</v>
      </c>
      <c r="E17" s="515">
        <f>IF(ISNUMBER(
   IF(D_I="SI",(Datos!L17-Datos!V17)/Datos!V17,(Datos!L17+Datos!AF17-(Datos!V17+Datos!AN17))/(Datos!V17+Datos!AN17))
     ),IF(D_I="SI",(Datos!L17-Datos!V17)/Datos!V17,(Datos!L17+Datos!AF17-(Datos!V17+Datos!AN17))/(Datos!V17+Datos!AN17))," - ")</f>
        <v>-0.16666666666666666</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0.46601941747572817</v>
      </c>
      <c r="C18" s="515">
        <f>IF(ISNUMBER(
   IF(D_I="SI",(Datos!J18-Datos!T18)/Datos!T18,(Datos!J18+Datos!AD18-(Datos!T18+Datos!AL18))/(Datos!T18+Datos!AL18))
     ),IF(D_I="SI",(Datos!J18-Datos!T18)/Datos!T18,(Datos!J18+Datos!AD18-(Datos!T18+Datos!AL18))/(Datos!T18+Datos!AL18))," - ")</f>
        <v>0.15019762845849802</v>
      </c>
      <c r="D18" s="515">
        <f>IF(ISNUMBER(
   IF(D_I="SI",(Datos!K18-Datos!U18)/Datos!U18,(Datos!K18+Datos!AE18-(Datos!U18+Datos!AM18))/(Datos!U18+Datos!AM18))
     ),IF(D_I="SI",(Datos!K18-Datos!U18)/Datos!U18,(Datos!K18+Datos!AE18-(Datos!U18+Datos!AM18))/(Datos!U18+Datos!AM18))," - ")</f>
        <v>2.4E-2</v>
      </c>
      <c r="E18" s="515">
        <f>IF(ISNUMBER(
   IF(D_I="SI",(Datos!L18-Datos!V18)/Datos!V18,(Datos!L18+Datos!AF18-(Datos!V18+Datos!AN18))/(Datos!V18+Datos!AN18))
     ),IF(D_I="SI",(Datos!L18-Datos!V18)/Datos!V18,(Datos!L18+Datos!AF18-(Datos!V18+Datos!AN18))/(Datos!V18+Datos!AN18))," - ")</f>
        <v>0.72222222222222221</v>
      </c>
      <c r="F18" s="515">
        <f>IF(ISNUMBER((Datos!M18-Datos!W18)/Datos!W18),(Datos!M18-Datos!W18)/Datos!W18," - ")</f>
        <v>-0.10294117647058823</v>
      </c>
      <c r="G18" s="516">
        <f>IF(ISNUMBER((Datos!N18-Datos!X18)/Datos!X18),(Datos!N18-Datos!X18)/Datos!X18," - ")</f>
        <v>0.30656934306569344</v>
      </c>
      <c r="H18" s="514">
        <f>IF(ISNUMBER(((NºAsuntos!G18/NºAsuntos!E18)-Datos!BD18)/Datos!BD18),((NºAsuntos!G18/NºAsuntos!E18)-Datos!BD18)/Datos!BD18," - ")</f>
        <v>-0.10971821305841922</v>
      </c>
      <c r="I18" s="515">
        <f>IF(ISNUMBER(((NºAsuntos!I18/NºAsuntos!G18)-Datos!BE18)/Datos!BE18),((NºAsuntos!I18/NºAsuntos!G18)-Datos!BE18)/Datos!BE18," - ")</f>
        <v>0.68185763888888895</v>
      </c>
      <c r="J18" s="521">
        <f>IF(ISNUMBER((('Resol  Asuntos'!D18/NºAsuntos!G18)-Datos!BF18)/Datos!BF18),(('Resol  Asuntos'!D18/NºAsuntos!G18)-Datos!BF18)/Datos!BF18," - ")</f>
        <v>-0.12396599264705889</v>
      </c>
      <c r="K18" s="522">
        <f>IF(ISNUMBER((((NºAsuntos!C18+NºAsuntos!E18)/NºAsuntos!G18)-Datos!BG18)/Datos!BG18),(((NºAsuntos!C18+NºAsuntos!E18)/NºAsuntos!G18)-Datos!BG18)/Datos!BG18," - ")</f>
        <v>0.21247366573033713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2.8800000000000002E-3</v>
      </c>
      <c r="C23" s="1152">
        <f>IF(ISNUMBER(
   IF(Criterios!B14="SI",(Datos!J23-Datos!T23)/Datos!T23,(Datos!J23+Datos!AD23-(Datos!T23+Datos!AL23))/(Datos!T23+Datos!AL23))
     ),IF(Criterios!B14="SI",(Datos!J23-Datos!T23)/Datos!T23,(Datos!J23+Datos!AD23-(Datos!T23+Datos!AL23))/(Datos!T23+Datos!AL23))," - ")</f>
        <v>4.3205574912891988E-2</v>
      </c>
      <c r="D23" s="1152">
        <f>IF(ISNUMBER(
   IF(Criterios!B14="SI",(Datos!K23-Datos!U23)/Datos!U23,(Datos!K23+Datos!AE23-(Datos!U23+Datos!AM23))/(Datos!U23+Datos!AM23))
     ),IF(Criterios!B14="SI",(Datos!K23-Datos!U23)/Datos!U23,(Datos!K23+Datos!AE23-(Datos!U23+Datos!AM23))/(Datos!U23+Datos!AM23))," - ")</f>
        <v>0.10552763819095477</v>
      </c>
      <c r="E23" s="1152">
        <f>IF(ISNUMBER(
   IF(Criterios!B14="SI",(Datos!L23-Datos!V23)/Datos!V23,(Datos!L23+Datos!AF23-(Datos!V23+Datos!AN23))/(Datos!V23+Datos!AN23))
     ),IF(Criterios!B14="SI",(Datos!L23-Datos!V23)/Datos!V23,(Datos!L23+Datos!AF23-(Datos!V23+Datos!AN23))/(Datos!V23+Datos!AN23))," - ")</f>
        <v>-5.1058530510585308E-2</v>
      </c>
      <c r="F23" s="1153">
        <f>IF(ISNUMBER((Datos!M23-Datos!W23)/Datos!W23),(Datos!M23-Datos!W23)/Datos!W23," - ")</f>
        <v>0.17681159420289855</v>
      </c>
      <c r="G23" s="1154">
        <f>IF(ISNUMBER((Datos!N23-Datos!X23)/Datos!X23),(Datos!N23-Datos!X23)/Datos!X23," - ")</f>
        <v>2.1320852834113363E-2</v>
      </c>
      <c r="H23" s="1154">
        <f>IF(ISNUMBER(((NºAsuntos!G23/NºAsuntos!E23)-Datos!BD23)/Datos!BD23),((NºAsuntos!G23/NºAsuntos!E23)-Datos!BD23)/Datos!BD23," - ")</f>
        <v>5.9740922380775045E-2</v>
      </c>
      <c r="I23" s="1154">
        <f>IF(ISNUMBER(((NºAsuntos!I23/NºAsuntos!G23)-Datos!BE23)/Datos!BE23),((NºAsuntos!I23/NºAsuntos!G23)-Datos!BE23)/Datos!BE23," - ")</f>
        <v>-0.14163930714366579</v>
      </c>
      <c r="J23" s="1154">
        <f>IF(ISNUMBER((('Resol  Asuntos'!D23/NºAsuntos!G23)-Datos!BF23)/Datos!BF23),(('Resol  Asuntos'!D23/NºAsuntos!G23)-Datos!BF23)/Datos!BF23," - ")</f>
        <v>6.4479578392621792E-2</v>
      </c>
      <c r="K23" s="1154">
        <f>IF(ISNUMBER((((NºAsuntos!C23+NºAsuntos!E23)/NºAsuntos!G23)-Datos!BG23)/Datos!BG23),(((NºAsuntos!C23+NºAsuntos!E23)/NºAsuntos!G23)-Datos!BG23)/Datos!BG23," - ")</f>
        <v>-7.5387064978391122E-2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0.14763721749339595</v>
      </c>
      <c r="C31" s="1092">
        <f>IF(ISNUMBER(
   IF(J_V="SI",(Datos!J31-Datos!T31)/Datos!T31,(Datos!J31+Datos!Z31-(Datos!T31+Datos!AH31))/(Datos!T31+Datos!AH31))
     ),IF(J_V="SI",(Datos!J31-Datos!T31)/Datos!T31,(Datos!J31+Datos!Z31-(Datos!T31+Datos!AH31))/(Datos!T31+Datos!AH31))," - ")</f>
        <v>0.1167129813418023</v>
      </c>
      <c r="D31" s="1092">
        <f>IF(ISNUMBER(
   IF(J_V="SI",(Datos!K31-Datos!U31)/Datos!U31,(Datos!K31+Datos!AA31-(Datos!U31+Datos!AI31))/(Datos!U31+Datos!AI31))
     ),IF(J_V="SI",(Datos!K31-Datos!U31)/Datos!U31,(Datos!K31+Datos!AA31-(Datos!U31+Datos!AI31))/(Datos!U31+Datos!AI31))," - ")</f>
        <v>0.26302195436935</v>
      </c>
      <c r="E31" s="1092">
        <f>IF(ISNUMBER(
   IF(J_V="SI",(Datos!L31-Datos!V31)/Datos!V31,(Datos!L31+Datos!AB31-(Datos!V31+Datos!AJ31))/(Datos!V31+Datos!AJ31))
     ),IF(J_V="SI",(Datos!L31-Datos!V31)/Datos!V31,(Datos!L31+Datos!AB31-(Datos!V31+Datos!AJ31))/(Datos!V31+Datos!AJ31))," - ")</f>
        <v>8.2140165787490574E-2</v>
      </c>
      <c r="F31" s="1093">
        <f>IF(ISNUMBER((Datos!M31-Datos!W31)/Datos!W31),(Datos!M31-Datos!W31)/Datos!W31," - ")</f>
        <v>0.14323962516733602</v>
      </c>
      <c r="G31" s="1094">
        <f>IF(ISNUMBER((Datos!N31-Datos!X31)/Datos!X31),(Datos!N31-Datos!X31)/Datos!X31," - ")</f>
        <v>0.16758544652701213</v>
      </c>
      <c r="H31" s="1095">
        <f>IF(ISNUMBER((Tasas!B31-Datos!BD31)/Datos!BD31),(Tasas!B31-Datos!BD31)/Datos!BD31," - ")</f>
        <v>0.13101752685972015</v>
      </c>
      <c r="I31" s="1096">
        <f>IF(ISNUMBER((Tasas!C31-Datos!BE31)/Datos!BE31),(Tasas!C31-Datos!BE31)/Datos!BE31," - ")</f>
        <v>-0.14321349518597801</v>
      </c>
      <c r="J31" s="1097">
        <f>IF(ISNUMBER((Tasas!D31-Datos!BF31)/Datos!BF31),(Tasas!D31-Datos!BF31)/Datos!BF31," - ")</f>
        <v>-0.40740043743544069</v>
      </c>
      <c r="K31" s="1097">
        <f>IF(ISNUMBER((Tasas!E31-Datos!BG31)/Datos!BG31),(Tasas!E31-Datos!BG31)/Datos!BG31," - ")</f>
        <v>-9.9439967553204126E-2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FiYAIwia9dfeynFx3adzGKMwylayrzsHRYPC5YWU0oADdm9L2uw/cFOAjh5cIIhj2JcqfEPQ0FmILxuCyF1jA==" saltValue="OsDFdlaCM176hJhVqg25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LAS PALMAS</v>
      </c>
    </row>
    <row r="4" spans="1:7" ht="11.25" customHeight="1" thickBot="1">
      <c r="B4" s="439" t="str">
        <f>Criterios!A11 &amp;"  "&amp;Criterios!B11</f>
        <v>Resumenes por Partidos Judiciales  SAN BARTOLOME DE TIRAJANA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1.0602918586789554</v>
      </c>
      <c r="C9" s="498">
        <f>IF(ISNUMBER(NºAsuntos!I9/NºAsuntos!G9),NºAsuntos!I9/NºAsuntos!G9," - ")</f>
        <v>3.0296993842810576</v>
      </c>
      <c r="D9" s="499">
        <f>IF(ISNUMBER('Resol  Asuntos'!D9/NºAsuntos!G9),'Resol  Asuntos'!D9/NºAsuntos!G9," - ")</f>
        <v>0.15827598696124592</v>
      </c>
      <c r="E9" s="500">
        <f>IF(ISNUMBER((NºAsuntos!C9+NºAsuntos!E9)/NºAsuntos!G9),(NºAsuntos!C9+NºAsuntos!E9)/NºAsuntos!G9," - ")</f>
        <v>4.0296993842810576</v>
      </c>
      <c r="G9" s="523"/>
    </row>
    <row r="10" spans="1:7">
      <c r="A10" s="450" t="str">
        <f>Datos!A10</f>
        <v>Jdos. Violencia contra la mujer</v>
      </c>
      <c r="B10" s="497">
        <f>IF(ISNUMBER(NºAsuntos!G10/NºAsuntos!E10),NºAsuntos!G10/NºAsuntos!E10," - ")</f>
        <v>0.9642857142857143</v>
      </c>
      <c r="C10" s="498">
        <f>IF(ISNUMBER(NºAsuntos!I10/NºAsuntos!G10),NºAsuntos!I10/NºAsuntos!G10," - ")</f>
        <v>2.5555555555555554</v>
      </c>
      <c r="D10" s="499">
        <f>IF(ISNUMBER('Resol  Asuntos'!D10/NºAsuntos!G10),'Resol  Asuntos'!D10/NºAsuntos!G10," - ")</f>
        <v>0.40740740740740738</v>
      </c>
      <c r="E10" s="500">
        <f>IF(ISNUMBER((NºAsuntos!C10+NºAsuntos!E10)/NºAsuntos!G10),(NºAsuntos!C10+NºAsuntos!E10)/NºAsuntos!G10," - ")</f>
        <v>3.5555555555555554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1.0592705167173253</v>
      </c>
      <c r="C14" s="1156">
        <f>IF(ISNUMBER(NºAsuntos!I14/NºAsuntos!G14),NºAsuntos!I14/NºAsuntos!G14," - ")</f>
        <v>3.0272596843615496</v>
      </c>
      <c r="D14" s="1157">
        <f>IF(ISNUMBER('Resol  Asuntos'!D14/NºAsuntos!G14),'Resol  Asuntos'!D14/NºAsuntos!G14," - ")</f>
        <v>0.1606886657101865</v>
      </c>
      <c r="E14" s="1158">
        <f>IF(ISNUMBER((NºAsuntos!C14+NºAsuntos!E14)/NºAsuntos!G14),(NºAsuntos!C14+NºAsuntos!E14)/NºAsuntos!G14," - ")</f>
        <v>4.0272596843615496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1.0447650758416573</v>
      </c>
      <c r="C16" s="498">
        <f>IF(ISNUMBER(NºAsuntos!I16/NºAsuntos!G16),NºAsuntos!I16/NºAsuntos!G16," - ")</f>
        <v>1.0099150141643058</v>
      </c>
      <c r="D16" s="499">
        <f>IF(ISNUMBER('Resol  Asuntos'!D16/NºAsuntos!G16),'Resol  Asuntos'!D16/NºAsuntos!G16," - ")</f>
        <v>0.12216713881019831</v>
      </c>
      <c r="E16" s="500">
        <f>IF(ISNUMBER((NºAsuntos!C16+NºAsuntos!E16)/NºAsuntos!G16),(NºAsuntos!C16+NºAsuntos!E16)/NºAsuntos!G16," - ")</f>
        <v>2.0099150141643061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0.8797250859106529</v>
      </c>
      <c r="C18" s="498">
        <f>IF(ISNUMBER(NºAsuntos!I18/NºAsuntos!G18),NºAsuntos!I18/NºAsuntos!G18," - ")</f>
        <v>0.7265625</v>
      </c>
      <c r="D18" s="499">
        <f>IF(ISNUMBER('Resol  Asuntos'!D18/NºAsuntos!G18),'Resol  Asuntos'!D18/NºAsuntos!G18," - ")</f>
        <v>0.23828125</v>
      </c>
      <c r="E18" s="500">
        <f>IF(ISNUMBER((NºAsuntos!C18+NºAsuntos!E18)/NºAsuntos!G18),(NºAsuntos!C18+NºAsuntos!E18)/NºAsuntos!G18," - ")</f>
        <v>1.7265625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1.0287241148964597</v>
      </c>
      <c r="C23" s="1156">
        <f>IF(ISNUMBER(NºAsuntos!I23/NºAsuntos!G23),NºAsuntos!I23/NºAsuntos!G23," - ")</f>
        <v>0.98961038961038961</v>
      </c>
      <c r="D23" s="1159">
        <f>IF(ISNUMBER('Resol  Asuntos'!D23/NºAsuntos!G23),'Resol  Asuntos'!D23/NºAsuntos!G23," - ")</f>
        <v>0.13181818181818181</v>
      </c>
      <c r="E23" s="1158">
        <f>IF(ISNUMBER((NºAsuntos!C23+NºAsuntos!E23)/NºAsuntos!G23),(NºAsuntos!C23+NºAsuntos!E23)/NºAsuntos!G23," - ")</f>
        <v>1.9896103896103896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1.0430145751866335</v>
      </c>
      <c r="C31" s="1099">
        <f>IF(ISNUMBER(NºAsuntos!I31/NºAsuntos!G31),NºAsuntos!I31/NºAsuntos!G31," - ")</f>
        <v>1.9577368779822768</v>
      </c>
      <c r="D31" s="1100">
        <f>IF(ISNUMBER('Resol  Asuntos'!D31/NºAsuntos!G31),'Resol  Asuntos'!D31/NºAsuntos!G31," - ")</f>
        <v>0.14553510565780503</v>
      </c>
      <c r="E31" s="1101">
        <f>IF(ISNUMBER((NºAsuntos!C31+NºAsuntos!E31)/NºAsuntos!G31),(NºAsuntos!C31+NºAsuntos!E31)/NºAsuntos!G31," - ")</f>
        <v>2.9577368779822768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kB2CCWxzfvg7WYdB6XyrxFWTjUCkTxibn2sWWgg87gIAr5TNo2atQOicA9Vecnsgt+B626yQCj5KB4/6lL6qw==" saltValue="F/ZN2c/4XadZ4z2ASiuGB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LAS PALMAS</v>
      </c>
      <c r="N2" s="368" t="str">
        <f>Criterios!A11 &amp;"  "&amp;Criterios!B11</f>
        <v>Resumenes por Partidos Judiciales  SAN BARTOLOME DE TIRAJANA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502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286</v>
      </c>
      <c r="Y9" s="374">
        <f>SUM(W9:X9)</f>
        <v>286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9494</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437</v>
      </c>
      <c r="AJ9" s="243" t="str">
        <f>IF(ISNUMBER(Datos!BW9),Datos!BW9," - ")</f>
        <v xml:space="preserve"> - </v>
      </c>
      <c r="AK9" s="242" t="str">
        <f>IF(ISNUMBER(Datos!BX9),Datos!BX9," - ")</f>
        <v xml:space="preserve"> - </v>
      </c>
      <c r="AL9" s="266">
        <f>IF(ISNUMBER(NºAsuntos!G9/NºAsuntos!E9),NºAsuntos!G9/NºAsuntos!E9," - ")</f>
        <v>1.0602918586789554</v>
      </c>
      <c r="AM9" s="284">
        <f>IF(ISNUMBER(((NºAsuntos!I9/NºAsuntos!G9)*11)/factor_trimestre),((NºAsuntos!I9/NºAsuntos!G9)*11)/factor_trimestre," - ")</f>
        <v>6.0593987685621151</v>
      </c>
      <c r="AN9" s="267">
        <f>IF(ISNUMBER('Resol  Asuntos'!D9/NºAsuntos!G9),'Resol  Asuntos'!D9/NºAsuntos!G9," - ")</f>
        <v>0.15827598696124592</v>
      </c>
      <c r="AO9" s="268">
        <f>IF(ISNUMBER((NºAsuntos!C9+NºAsuntos!E9)/NºAsuntos!G9),(NºAsuntos!C9+NºAsuntos!E9)/NºAsuntos!G9," - ")</f>
        <v>4.0296993842810576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68</v>
      </c>
      <c r="G10" s="373">
        <f>IF(ISNUMBER(Datos!I10),Datos!I10," - ")</f>
        <v>68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27</v>
      </c>
      <c r="X10" s="240">
        <f>IF(ISNUMBER(Datos!Q10),Datos!Q10," - ")</f>
        <v>3</v>
      </c>
      <c r="Y10" s="374">
        <f t="shared" ref="Y10:Y13" si="0">SUM(W10:X10)</f>
        <v>30</v>
      </c>
      <c r="Z10" s="375" t="str">
        <f>IF(ISNUMBER(Datos!CC10),Datos!CC10," - ")</f>
        <v xml:space="preserve"> - </v>
      </c>
      <c r="AA10" s="372">
        <f>IF(ISNUMBER(Datos!L10),Datos!L10,"-")</f>
        <v>69</v>
      </c>
      <c r="AB10" s="374">
        <f>IF(ISNUMBER(Datos!R10),Datos!R10," - ")</f>
        <v>49</v>
      </c>
      <c r="AC10" s="374">
        <f t="shared" ref="AC10:AC13" si="1">IF(ISNUMBER(AA10+AB10),AA10+AB10," - ")</f>
        <v>118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0.9642857142857143</v>
      </c>
      <c r="AM10" s="284">
        <f>IF(ISNUMBER(((NºAsuntos!I10/NºAsuntos!G10)*11)/factor_trimestre),((NºAsuntos!I10/NºAsuntos!G10)*11)/factor_trimestre," - ")</f>
        <v>5.1111111111111107</v>
      </c>
      <c r="AN10" s="267">
        <f>IF(ISNUMBER('Resol  Asuntos'!D10/NºAsuntos!G10),'Resol  Asuntos'!D10/NºAsuntos!G10," - ")</f>
        <v>0.40740740740740738</v>
      </c>
      <c r="AO10" s="268">
        <f>IF(ISNUMBER((NºAsuntos!C10+NºAsuntos!E10)/NºAsuntos!G10),(NºAsuntos!C10+NºAsuntos!E10)/NºAsuntos!G10," - ")</f>
        <v>3.5555555555555554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68</v>
      </c>
      <c r="G14" s="1163">
        <f t="shared" si="5"/>
        <v>68</v>
      </c>
      <c r="H14" s="1162">
        <f t="shared" si="5"/>
        <v>0</v>
      </c>
      <c r="I14" s="1164">
        <f t="shared" si="5"/>
        <v>0</v>
      </c>
      <c r="J14" s="1164">
        <f t="shared" si="5"/>
        <v>0</v>
      </c>
      <c r="K14" s="1164">
        <f t="shared" si="5"/>
        <v>0</v>
      </c>
      <c r="L14" s="1164">
        <f t="shared" si="5"/>
        <v>505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27</v>
      </c>
      <c r="X14" s="1164">
        <f t="shared" si="6"/>
        <v>301</v>
      </c>
      <c r="Y14" s="1165">
        <f t="shared" si="6"/>
        <v>328</v>
      </c>
      <c r="Z14" s="1165">
        <f t="shared" si="6"/>
        <v>0</v>
      </c>
      <c r="AA14" s="1165">
        <f t="shared" si="6"/>
        <v>69</v>
      </c>
      <c r="AB14" s="1165">
        <f t="shared" si="6"/>
        <v>10181</v>
      </c>
      <c r="AC14" s="1165">
        <f t="shared" si="6"/>
        <v>118</v>
      </c>
      <c r="AD14" s="1165">
        <f t="shared" si="6"/>
        <v>0</v>
      </c>
      <c r="AE14" s="1169">
        <f t="shared" si="6"/>
        <v>0</v>
      </c>
      <c r="AF14" s="1162">
        <f t="shared" si="6"/>
        <v>0</v>
      </c>
      <c r="AG14" s="1170">
        <f t="shared" si="6"/>
        <v>0</v>
      </c>
      <c r="AH14" s="1167">
        <f t="shared" si="6"/>
        <v>0</v>
      </c>
      <c r="AI14" s="1162">
        <f t="shared" si="6"/>
        <v>448</v>
      </c>
      <c r="AJ14" s="1164">
        <f t="shared" si="6"/>
        <v>0</v>
      </c>
      <c r="AK14" s="1167">
        <f>SUBTOTAL(9,AK9:AK13)</f>
        <v>0</v>
      </c>
      <c r="AL14" s="1171">
        <f>IF(ISNUMBER(NºAsuntos!G14/NºAsuntos!E14),NºAsuntos!G14/NºAsuntos!E14," - ")</f>
        <v>1.0592705167173253</v>
      </c>
      <c r="AM14" s="1171">
        <f>IF(ISNUMBER(((NºAsuntos!I14/NºAsuntos!G14)*11)/factor_trimestre),((NºAsuntos!I14/NºAsuntos!G14)*11)/factor_trimestre," - ")</f>
        <v>6.0545193687230983</v>
      </c>
      <c r="AN14" s="1172">
        <f>IF(ISNUMBER('Resol  Asuntos'!D14/NºAsuntos!G14),'Resol  Asuntos'!D14/NºAsuntos!G14," - ")</f>
        <v>0.1606886657101865</v>
      </c>
      <c r="AO14" s="1173">
        <f>IF(ISNUMBER((NºAsuntos!C14+NºAsuntos!E14)/NºAsuntos!G14),(NºAsuntos!C14+NºAsuntos!E14)/NºAsuntos!G14," - ")</f>
        <v>4.0272596843615496</v>
      </c>
      <c r="AP14" s="1174" t="str">
        <f t="shared" si="2"/>
        <v xml:space="preserve"> - </v>
      </c>
      <c r="AQ14" s="1174">
        <f>IF(ISNUMBER((H14-W14+K14)/(F14)),(H14-W14+K14)/(F14)," - ")</f>
        <v>-0.39705882352941174</v>
      </c>
      <c r="AR14" s="1175">
        <f>IF(ISNUMBER((Datos!P14-Datos!Q14)/(Datos!R14-Datos!P14+Datos!Q14)),(Datos!P14-Datos!Q14)/(Datos!R14-Datos!P14+Datos!Q14)," - ")</f>
        <v>2.0447028164778992E-2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2973</v>
      </c>
      <c r="G16" s="373">
        <f>IF(ISNUMBER(IF(D_I="SI",Datos!I16,Datos!I16+Datos!AC16)),IF(D_I="SI",Datos!I16,Datos!I16+Datos!AC16)," - ")</f>
        <v>2973</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76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2824</v>
      </c>
      <c r="X16" s="240">
        <f>IF(ISNUMBER(Datos!Q16),Datos!Q16," - ")</f>
        <v>78</v>
      </c>
      <c r="Y16" s="374">
        <f>SUM(W16)</f>
        <v>2824</v>
      </c>
      <c r="Z16" s="375" t="str">
        <f>IF(ISNUMBER(Datos!CC16),Datos!CC16," - ")</f>
        <v xml:space="preserve"> - </v>
      </c>
      <c r="AA16" s="372">
        <f>IF(ISNUMBER(IF(D_I="SI",Datos!L16,Datos!L16+Datos!AF16)),IF(D_I="SI",Datos!L16,Datos!L16+Datos!AF16)," - ")</f>
        <v>2852</v>
      </c>
      <c r="AB16" s="374">
        <f>IF(ISNUMBER(Datos!R16),Datos!R16," - ")</f>
        <v>328</v>
      </c>
      <c r="AC16" s="374">
        <f t="shared" ref="AC16:AC22" si="8">IF(ISNUMBER(AA16+AB16),AA16+AB16," - ")</f>
        <v>3180</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345</v>
      </c>
      <c r="AJ16" s="245" t="str">
        <f>IF(ISNUMBER(Datos!BW16),Datos!BW16," - ")</f>
        <v xml:space="preserve"> - </v>
      </c>
      <c r="AK16" s="246" t="str">
        <f>IF(ISNUMBER(Datos!BX16),Datos!BX16," - ")</f>
        <v xml:space="preserve"> - </v>
      </c>
      <c r="AL16" s="266">
        <f>IF(ISNUMBER(NºAsuntos!G16/NºAsuntos!E16),NºAsuntos!G16/NºAsuntos!E16," - ")</f>
        <v>1.0447650758416573</v>
      </c>
      <c r="AM16" s="284">
        <f>IF(ISNUMBER(((NºAsuntos!I16/NºAsuntos!G16)*11)/factor_trimestre),((NºAsuntos!I16/NºAsuntos!G16)*11)/factor_trimestre," - ")</f>
        <v>2.0198300283286117</v>
      </c>
      <c r="AN16" s="267">
        <f>IF(ISNUMBER('Resol  Asuntos'!D16/NºAsuntos!G16),'Resol  Asuntos'!D16/NºAsuntos!G16," - ")</f>
        <v>0.12216713881019831</v>
      </c>
      <c r="AO16" s="268">
        <f>IF(ISNUMBER((NºAsuntos!C16+NºAsuntos!E16)/NºAsuntos!G16),(NºAsuntos!C16+NºAsuntos!E16)/NºAsuntos!G16," - ")</f>
        <v>2.0099150141643061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10</v>
      </c>
      <c r="G17" s="373">
        <f>IF(ISNUMBER(IF(D_I="SI",Datos!I17,Datos!I17+Datos!AC17)),IF(D_I="SI",Datos!I17,Datos!I17+Datos!AC17)," - ")</f>
        <v>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10</v>
      </c>
      <c r="AB17" s="374">
        <f>IF(ISNUMBER(Datos!R17),Datos!R17," - ")</f>
        <v>2</v>
      </c>
      <c r="AC17" s="374">
        <f t="shared" si="8"/>
        <v>12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256</v>
      </c>
      <c r="X18" s="240">
        <f>IF(ISNUMBER(Datos!Q18),Datos!Q18," - ")</f>
        <v>4</v>
      </c>
      <c r="Y18" s="374">
        <f t="shared" si="9"/>
        <v>260</v>
      </c>
      <c r="Z18" s="375" t="str">
        <f>IF(ISNUMBER(Datos!CC18),Datos!CC18," - ")</f>
        <v xml:space="preserve"> - </v>
      </c>
      <c r="AA18" s="372">
        <f>IF(ISNUMBER(Datos!L18),Datos!L18,"-")</f>
        <v>186</v>
      </c>
      <c r="AB18" s="374">
        <f>IF(ISNUMBER(Datos!R18),Datos!R18," - ")</f>
        <v>28</v>
      </c>
      <c r="AC18" s="374">
        <f t="shared" si="8"/>
        <v>214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61</v>
      </c>
      <c r="AJ18" s="245" t="str">
        <f>IF(ISNUMBER(Datos!BW18),Datos!BW18," - ")</f>
        <v xml:space="preserve"> - </v>
      </c>
      <c r="AK18" s="246" t="str">
        <f>IF(ISNUMBER(Datos!BX18),Datos!BX18," - ")</f>
        <v xml:space="preserve"> - </v>
      </c>
      <c r="AL18" s="266">
        <f>IF(ISNUMBER(NºAsuntos!G18/NºAsuntos!E18),NºAsuntos!G18/NºAsuntos!E18," - ")</f>
        <v>0.8797250859106529</v>
      </c>
      <c r="AM18" s="284">
        <f>IF(ISNUMBER(((NºAsuntos!I18/NºAsuntos!G18)*11)/factor_trimestre),((NºAsuntos!I18/NºAsuntos!G18)*11)/factor_trimestre," - ")</f>
        <v>1.453125</v>
      </c>
      <c r="AN18" s="267">
        <f>IF(ISNUMBER('Resol  Asuntos'!D18/NºAsuntos!G18),'Resol  Asuntos'!D18/NºAsuntos!G18," - ")</f>
        <v>0.23828125</v>
      </c>
      <c r="AO18" s="268">
        <f>IF(ISNUMBER((NºAsuntos!C18+NºAsuntos!E18)/NºAsuntos!G18),(NºAsuntos!C18+NºAsuntos!E18)/NºAsuntos!G18," - ")</f>
        <v>1.7265625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2983</v>
      </c>
      <c r="G23" s="1163">
        <f>SUBTOTAL(9,G16:G22)</f>
        <v>3134</v>
      </c>
      <c r="H23" s="1162">
        <f t="shared" ref="H23:O23" si="13">SUBTOTAL(9,H15:H22)</f>
        <v>0</v>
      </c>
      <c r="I23" s="1164">
        <f t="shared" si="13"/>
        <v>0</v>
      </c>
      <c r="J23" s="1164">
        <f t="shared" si="13"/>
        <v>0</v>
      </c>
      <c r="K23" s="1164">
        <f t="shared" si="13"/>
        <v>0</v>
      </c>
      <c r="L23" s="1164">
        <f t="shared" si="13"/>
        <v>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3080</v>
      </c>
      <c r="X23" s="1164">
        <f t="shared" si="14"/>
        <v>82</v>
      </c>
      <c r="Y23" s="1165">
        <f t="shared" si="14"/>
        <v>3084</v>
      </c>
      <c r="Z23" s="1165">
        <f t="shared" si="14"/>
        <v>0</v>
      </c>
      <c r="AA23" s="1165">
        <f t="shared" si="14"/>
        <v>3048</v>
      </c>
      <c r="AB23" s="1165">
        <f t="shared" si="14"/>
        <v>358</v>
      </c>
      <c r="AC23" s="1165">
        <f t="shared" si="14"/>
        <v>3406</v>
      </c>
      <c r="AD23" s="1165">
        <f t="shared" si="14"/>
        <v>0</v>
      </c>
      <c r="AE23" s="1169">
        <f t="shared" si="14"/>
        <v>0</v>
      </c>
      <c r="AF23" s="1162">
        <f t="shared" si="14"/>
        <v>0</v>
      </c>
      <c r="AG23" s="1170">
        <f t="shared" si="14"/>
        <v>0</v>
      </c>
      <c r="AH23" s="1167">
        <f t="shared" si="14"/>
        <v>0</v>
      </c>
      <c r="AI23" s="1162">
        <f t="shared" si="14"/>
        <v>406</v>
      </c>
      <c r="AJ23" s="1164">
        <f t="shared" si="14"/>
        <v>0</v>
      </c>
      <c r="AK23" s="1167">
        <f t="shared" si="14"/>
        <v>0</v>
      </c>
      <c r="AL23" s="1171">
        <f>IF(ISNUMBER(NºAsuntos!G23/NºAsuntos!E23),NºAsuntos!G23/NºAsuntos!E23," - ")</f>
        <v>1.0287241148964597</v>
      </c>
      <c r="AM23" s="1171">
        <f>IF(ISNUMBER(((NºAsuntos!I23/NºAsuntos!G23)*11)/factor_trimestre),((NºAsuntos!I23/NºAsuntos!G23)*11)/factor_trimestre," - ")</f>
        <v>1.9792207792207792</v>
      </c>
      <c r="AN23" s="1172">
        <f>IF(ISNUMBER('Resol  Asuntos'!D23/NºAsuntos!G23),'Resol  Asuntos'!D23/NºAsuntos!G23," - ")</f>
        <v>0.13181818181818181</v>
      </c>
      <c r="AO23" s="1173">
        <f>IF(ISNUMBER((NºAsuntos!C23+NºAsuntos!E23)/NºAsuntos!G23),(NºAsuntos!C23+NºAsuntos!E23)/NºAsuntos!G23," - ")</f>
        <v>1.9896103896103896</v>
      </c>
      <c r="AP23" s="1174" t="str">
        <f t="shared" si="2"/>
        <v xml:space="preserve"> - </v>
      </c>
      <c r="AQ23" s="1174">
        <f>IF(ISNUMBER((H23-W23+K23)/(F23)),(H23-W23+K23)/(F23)," - ")</f>
        <v>-1.0325175997318137</v>
      </c>
      <c r="AR23" s="1175">
        <f>IF(ISNUMBER((Datos!P23-Datos!Q23)/(Datos!R23-Datos!P23+Datos!Q23)),(Datos!P23-Datos!Q23)/(Datos!R23-Datos!P23+Datos!Q23)," - ")</f>
        <v>2.2857142857142857E-2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3051</v>
      </c>
      <c r="G31" s="1118">
        <f t="shared" si="20"/>
        <v>3202</v>
      </c>
      <c r="H31" s="1117">
        <f t="shared" si="20"/>
        <v>0</v>
      </c>
      <c r="I31" s="1119">
        <f t="shared" si="20"/>
        <v>0</v>
      </c>
      <c r="J31" s="1119">
        <f t="shared" si="20"/>
        <v>0</v>
      </c>
      <c r="K31" s="1180">
        <f t="shared" si="20"/>
        <v>0</v>
      </c>
      <c r="L31" s="1119">
        <f t="shared" si="20"/>
        <v>595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3107</v>
      </c>
      <c r="X31" s="1118">
        <f t="shared" si="21"/>
        <v>383</v>
      </c>
      <c r="Y31" s="1125">
        <f t="shared" si="21"/>
        <v>3412</v>
      </c>
      <c r="Z31" s="1125">
        <f t="shared" si="21"/>
        <v>0</v>
      </c>
      <c r="AA31" s="1125">
        <f t="shared" si="21"/>
        <v>3117</v>
      </c>
      <c r="AB31" s="1125">
        <f t="shared" si="21"/>
        <v>10539</v>
      </c>
      <c r="AC31" s="1125">
        <f t="shared" si="21"/>
        <v>3524</v>
      </c>
      <c r="AD31" s="1125">
        <f t="shared" si="21"/>
        <v>0</v>
      </c>
      <c r="AE31" s="1127">
        <f t="shared" si="21"/>
        <v>0</v>
      </c>
      <c r="AF31" s="1128">
        <f t="shared" si="21"/>
        <v>0</v>
      </c>
      <c r="AG31" s="1129">
        <f t="shared" si="21"/>
        <v>0</v>
      </c>
      <c r="AH31" s="1127">
        <f t="shared" si="21"/>
        <v>0</v>
      </c>
      <c r="AI31" s="1117">
        <f t="shared" si="21"/>
        <v>854</v>
      </c>
      <c r="AJ31" s="1117">
        <f t="shared" si="21"/>
        <v>0</v>
      </c>
      <c r="AK31" s="1127">
        <f t="shared" si="21"/>
        <v>0</v>
      </c>
      <c r="AL31" s="1183">
        <f>IF(ISNUMBER(NºAsuntos!G31/NºAsuntos!E31),NºAsuntos!G31/NºAsuntos!E31," - ")</f>
        <v>1.0430145751866335</v>
      </c>
      <c r="AM31" s="1184">
        <f>IF(ISNUMBER(((NºAsuntos!I31/NºAsuntos!G31)*11)/factor_trimestre),((NºAsuntos!I31/NºAsuntos!G31)*11)/factor_trimestre," - ")</f>
        <v>3.9154737559645536</v>
      </c>
      <c r="AN31" s="1184">
        <f>IF(ISNUMBER('Resol  Asuntos'!D31/NºAsuntos!G31),'Resol  Asuntos'!D31/NºAsuntos!G31," - ")</f>
        <v>0.14553510565780503</v>
      </c>
      <c r="AO31" s="1185">
        <f>IF(ISNUMBER((NºAsuntos!C31+NºAsuntos!E31)/NºAsuntos!G31),(NºAsuntos!C31+NºAsuntos!E31)/NºAsuntos!G31," - ")</f>
        <v>2.9577368779822768</v>
      </c>
      <c r="AP31" s="1186" t="str">
        <f t="shared" si="2"/>
        <v xml:space="preserve"> - </v>
      </c>
      <c r="AQ31" s="1187">
        <f>IF(OR(ISNUMBER(FIND("01",Criterios!A8,1)),ISNUMBER(FIND("02",Criterios!A8,1)),ISNUMBER(FIND("03",Criterios!A8,1)),ISNUMBER(FIND("04",Criterios!A8,1))),(I31-W31+K31)/(F31-K31),(H31-W31+K31)/(F31-K31))</f>
        <v>-1.0183546378236643</v>
      </c>
      <c r="AR31" s="1188">
        <f>IF(ISNUMBER((Datos!P31-Datos!Q31)/(Datos!R31-Datos!P31+Datos!Q31)),(Datos!P31-Datos!Q31)/(Datos!R31-Datos!P31+Datos!Q31)," - ")</f>
        <v>2.0528711145540814E-2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800.5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1.928548222268252</v>
      </c>
      <c r="F33" s="276">
        <f>IF(ISNUMBER(STDEV(F8:F30)),STDEV(F8:F30),"-")</f>
        <v>1439.1644235789176</v>
      </c>
      <c r="G33" s="277">
        <f>IF(ISNUMBER(STDEV(G8:G30)),STDEV(G8:G30),"-")</f>
        <v>1392.1428498130911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1347.041493686919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207.53837663858167</v>
      </c>
      <c r="AJ33" s="276">
        <f t="shared" si="25"/>
        <v>0</v>
      </c>
      <c r="AK33" s="278">
        <f t="shared" si="25"/>
        <v>0</v>
      </c>
      <c r="AL33" s="273">
        <f t="shared" si="25"/>
        <v>7.1399884916160811E-2</v>
      </c>
      <c r="AM33" s="274">
        <f t="shared" si="25"/>
        <v>2.1861520527986733</v>
      </c>
      <c r="AN33" s="274">
        <f t="shared" si="25"/>
        <v>0.10809105038733885</v>
      </c>
      <c r="AO33" s="275">
        <f t="shared" si="25"/>
        <v>1.0930760263993364</v>
      </c>
      <c r="AP33" s="317" t="str">
        <f t="shared" si="25"/>
        <v>-</v>
      </c>
      <c r="AQ33" s="318">
        <f t="shared" si="25"/>
        <v>0.44933720981722325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vv43q8PgiCgJS9VzwbrLeeh6dzvy05kew6PyP0ejLQnAAQqxgXO/77wpf9rnI/VKHHqZO7j7SOjVMj2EI60AMw==" saltValue="reC6SMzCIOvGEn5Rtwgu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LAS PALMAS</v>
      </c>
      <c r="E3" s="287"/>
    </row>
    <row r="4" spans="2:20" ht="17.25" customHeight="1" thickBot="1">
      <c r="D4" s="286" t="str">
        <f>Criterios!A11 &amp;"  "&amp;Criterios!B11</f>
        <v>Resumenes por Partidos Judiciales  SAN BARTOLOME DE TIRAJANA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0.11195928753180662</v>
      </c>
      <c r="I9" s="395">
        <f>IF(ISNUMBER((Tasas!C9-Datos!BE9)/Datos!BE9),(Tasas!C9-Datos!BE9)/Datos!BE9," - ")</f>
        <v>-0.23905224766894367</v>
      </c>
      <c r="J9" s="394">
        <f>IF(ISNUMBER((Tasas!D9-Datos!BF9)/Datos!BF9),(Tasas!D9-Datos!BF9)/Datos!BF9," - ")</f>
        <v>-0.63075640144746181</v>
      </c>
      <c r="K9" s="396">
        <f>IF(ISNUMBER((Tasas!E9-Datos!BG9)/Datos!BG9),(Tasas!E9-Datos!BG9)/Datos!BG9," - ")</f>
        <v>-0.19106406412201823</v>
      </c>
      <c r="M9" t="e">
        <f>IF(Monitorios="SI",Datos!CE9,0)</f>
        <v>#REF!</v>
      </c>
      <c r="N9" t="e">
        <f>IF(Monitorios="SI",Datos!CF9,0)</f>
        <v>#REF!</v>
      </c>
      <c r="O9" t="e">
        <f>IF(Monitorios="SI",Datos!CG9,0)</f>
        <v>#REF!</v>
      </c>
      <c r="P9" t="e">
        <f>IF(Monitorios="SI",Datos!CH9,0)</f>
        <v>#REF!</v>
      </c>
      <c r="Q9">
        <f>IF(J_V="SI",0,Datos!AG9)</f>
        <v>158</v>
      </c>
      <c r="R9">
        <f>IF(J_V="SI",0,Datos!AH9)</f>
        <v>89</v>
      </c>
      <c r="S9">
        <f>IF(J_V="SI",0,Datos!AI9)</f>
        <v>79</v>
      </c>
      <c r="T9">
        <f>IF(J_V="SI",0,Datos!AJ9)</f>
        <v>168</v>
      </c>
    </row>
    <row r="10" spans="2:20" ht="14.25">
      <c r="B10" s="300" t="s">
        <v>321</v>
      </c>
      <c r="C10" s="7" t="str">
        <f>Datos!A10</f>
        <v>Jdos. Violencia contra la mujer</v>
      </c>
      <c r="D10" s="397">
        <f>IF(ISNUMBER((Datos!I10-Datos!S10)/Datos!S10),(Datos!I10-Datos!S10)/Datos!S10," - ")</f>
        <v>-0.18072289156626506</v>
      </c>
      <c r="E10" s="393">
        <f>IF(ISNUMBER((Datos!J10-Datos!T10)/Datos!T10),(Datos!J10-Datos!T10)/Datos!T10," - ")</f>
        <v>0.33333333333333331</v>
      </c>
      <c r="F10" s="393">
        <f>IF(ISNUMBER((Datos!K10-Datos!U10)/Datos!U10),(Datos!K10-Datos!U10)/Datos!U10," - ")</f>
        <v>0.17391304347826086</v>
      </c>
      <c r="G10" s="394">
        <f>IF(ISNUMBER((Datos!L10-Datos!V10)/Datos!V10),(Datos!L10-Datos!V10)/Datos!V10," - ")</f>
        <v>-0.14814814814814814</v>
      </c>
      <c r="H10" s="244">
        <f>IF(ISNUMBER((Datos!M10-Datos!W10)/Datos!W10),(Datos!M10-Datos!W10)/Datos!W10," - ")</f>
        <v>0.22222222222222221</v>
      </c>
      <c r="I10" s="395">
        <f>IF(ISNUMBER((Tasas!C10-Datos!BE10)/Datos!BE10),(Tasas!C10-Datos!BE10)/Datos!BE10," - ")</f>
        <v>-0.27434842249657071</v>
      </c>
      <c r="J10" s="394">
        <f>IF(ISNUMBER((Tasas!D10-Datos!BF10)/Datos!BF10),(Tasas!D10-Datos!BF10)/Datos!BF10," - ")</f>
        <v>4.1152263374485493E-2</v>
      </c>
      <c r="K10" s="396">
        <f>IF(ISNUMBER((Tasas!E10-Datos!BG10)/Datos!BG10),(Tasas!E10-Datos!BG10)/Datos!BG10," - ")</f>
        <v>-0.21367521367521367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0.11442786069651742</v>
      </c>
      <c r="I14" s="402">
        <f>IF(ISNUMBER((Tasas!C14-Datos!BE14)/Datos!BE14),(Tasas!C14-Datos!BE14)/Datos!BE14," - ")</f>
        <v>-0.23950526567902722</v>
      </c>
      <c r="J14" s="400">
        <f>IF(ISNUMBER((Tasas!D14-Datos!BF14)/Datos!BF14),(Tasas!D14-Datos!BF14)/Datos!BF14," - ")</f>
        <v>-0.62452145952142357</v>
      </c>
      <c r="K14" s="403">
        <f>IF(ISNUMBER((Tasas!E14-Datos!BG14)/Datos!BG14),(Tasas!E14-Datos!BG14)/Datos!BG14," - ")</f>
        <v>-0.19141806855435206</v>
      </c>
      <c r="M14" t="e">
        <f>IF(Monitorios="SI",Datos!CE14,0)</f>
        <v>#REF!</v>
      </c>
      <c r="N14" t="e">
        <f>IF(Monitorios="SI",Datos!CF14,0)</f>
        <v>#REF!</v>
      </c>
      <c r="O14" t="e">
        <f>IF(Monitorios="SI",Datos!CG14,0)</f>
        <v>#REF!</v>
      </c>
      <c r="P14" t="e">
        <f>IF(Monitorios="SI",Datos!CH14,0)</f>
        <v>#REF!</v>
      </c>
      <c r="Q14">
        <f>IF(J_V="SI",0,Datos!AG14)</f>
        <v>158</v>
      </c>
      <c r="R14">
        <f>IF(J_V="SI",0,Datos!AH14)</f>
        <v>89</v>
      </c>
      <c r="S14">
        <f>IF(J_V="SI",0,Datos!AI14)</f>
        <v>79</v>
      </c>
      <c r="T14">
        <f>IF(J_V="SI",0,Datos!AJ14)</f>
        <v>168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-1.229235880398671E-2</v>
      </c>
      <c r="E16" s="393">
        <f>IF(ISNUMBER(
   IF(D_I="SI",(Datos!J16-Datos!T16)/Datos!T16,(Datos!J16+Datos!AD16-(Datos!T16+Datos!AL16))/(Datos!T16+Datos!AL16))
     ),IF(D_I="SI",(Datos!J16-Datos!T16)/Datos!T16,(Datos!J16+Datos!AD16-(Datos!T16+Datos!AL16))/(Datos!T16+Datos!AL16))," - ")</f>
        <v>3.2862055789071455E-2</v>
      </c>
      <c r="F16" s="393">
        <f>IF(ISNUMBER(
   IF(D_I="SI",(Datos!K16-Datos!U16)/Datos!U16,(Datos!K16+Datos!AE16-(Datos!U16+Datos!AM16))/(Datos!U16+Datos!AM16))
     ),IF(D_I="SI",(Datos!K16-Datos!U16)/Datos!U16,(Datos!K16+Datos!AE16-(Datos!U16+Datos!AM16))/(Datos!U16+Datos!AM16))," - ")</f>
        <v>0.11400394477317555</v>
      </c>
      <c r="G16" s="394">
        <f>IF(ISNUMBER(
   IF(D_I="SI",(Datos!L16-Datos!V16)/Datos!V16,(Datos!L16+Datos!AF16-(Datos!V16+Datos!AN16))/(Datos!V16+Datos!AN16))
     ),IF(D_I="SI",(Datos!L16-Datos!V16)/Datos!V16,(Datos!L16+Datos!AF16-(Datos!V16+Datos!AN16))/(Datos!V16+Datos!AN16))," - ")</f>
        <v>-7.7619663648124185E-2</v>
      </c>
      <c r="H16" s="244">
        <f>IF(ISNUMBER((Datos!M16-Datos!W16)/Datos!W16),(Datos!M16-Datos!W16)/Datos!W16," - ")</f>
        <v>0.24548736462093862</v>
      </c>
      <c r="I16" s="395">
        <f>IF(ISNUMBER((Tasas!C16-Datos!BE16)/Datos!BE16),(Tasas!C16-Datos!BE16)/Datos!BE16," - ")</f>
        <v>-0.17201340203540905</v>
      </c>
      <c r="J16" s="394">
        <f>IF(ISNUMBER((Tasas!D16-Datos!BF16)/Datos!BF16),(Tasas!D16-Datos!BF16)/Datos!BF16," - ")</f>
        <v>0.11802778658430574</v>
      </c>
      <c r="K16" s="396">
        <f>IF(ISNUMBER((Tasas!E16-Datos!BG16)/Datos!BG16),(Tasas!E16-Datos!BG16)/Datos!BG16," - ")</f>
        <v>-9.4520248639325344E-2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-0.16666666666666666</v>
      </c>
      <c r="E17" s="393" t="str">
        <f>IF(ISNUMBER(
   IF(D_I="SI",(Datos!J17-Datos!T17)/Datos!T17,(Datos!J17+Datos!AD17-(Datos!T17+Datos!AL17))/(Datos!T17+Datos!AL17))
     ),IF(D_I="SI",(Datos!J17-Datos!T17)/Datos!T17,(Datos!J17+Datos!AD17-(Datos!T17+Datos!AL17))/(Datos!T17+Datos!AL17))," - ")</f>
        <v xml:space="preserve"> - </v>
      </c>
      <c r="F17" s="393">
        <f>IF(ISNUMBER(
   IF(D_I="SI",(Datos!K17-Datos!U17)/Datos!U17,(Datos!K17+Datos!AE17-(Datos!U17+Datos!AM17))/(Datos!U17+Datos!AM17))
     ),IF(D_I="SI",(Datos!K17-Datos!U17)/Datos!U17,(Datos!K17+Datos!AE17-(Datos!U17+Datos!AM17))/(Datos!U17+Datos!AM17))," - ")</f>
        <v>-1</v>
      </c>
      <c r="G17" s="394">
        <f>IF(ISNUMBER(
   IF(D_I="SI",(Datos!L17-Datos!V17)/Datos!V17,(Datos!L17+Datos!AF17-(Datos!V17+Datos!AN17))/(Datos!V17+Datos!AN17))
     ),IF(D_I="SI",(Datos!L17-Datos!V17)/Datos!V17,(Datos!L17+Datos!AF17-(Datos!V17+Datos!AN17))/(Datos!V17+Datos!AN17))," - ")</f>
        <v>-0.16666666666666666</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0.46601941747572817</v>
      </c>
      <c r="E18" s="393">
        <f>IF(ISNUMBER(
   IF(D_I="SI",(Datos!J18-Datos!T18)/Datos!T18,(Datos!J18+Datos!AD18-(Datos!T18+Datos!AL18))/(Datos!T18+Datos!AL18))
     ),IF(D_I="SI",(Datos!J18-Datos!T18)/Datos!T18,(Datos!J18+Datos!AD18-(Datos!T18+Datos!AL18))/(Datos!T18+Datos!AL18))," - ")</f>
        <v>0.15019762845849802</v>
      </c>
      <c r="F18" s="393">
        <f>IF(ISNUMBER(
   IF(D_I="SI",(Datos!K18-Datos!U18)/Datos!U18,(Datos!K18+Datos!AE18-(Datos!U18+Datos!AM18))/(Datos!U18+Datos!AM18))
     ),IF(D_I="SI",(Datos!K18-Datos!U18)/Datos!U18,(Datos!K18+Datos!AE18-(Datos!U18+Datos!AM18))/(Datos!U18+Datos!AM18))," - ")</f>
        <v>2.4E-2</v>
      </c>
      <c r="G18" s="394">
        <f>IF(ISNUMBER(
   IF(D_I="SI",(Datos!L18-Datos!V18)/Datos!V18,(Datos!L18+Datos!AF18-(Datos!V18+Datos!AN18))/(Datos!V18+Datos!AN18))
     ),IF(D_I="SI",(Datos!L18-Datos!V18)/Datos!V18,(Datos!L18+Datos!AF18-(Datos!V18+Datos!AN18))/(Datos!V18+Datos!AN18))," - ")</f>
        <v>0.72222222222222221</v>
      </c>
      <c r="H18" s="244">
        <f>IF(ISNUMBER((Datos!M18-Datos!W18)/Datos!W18),(Datos!M18-Datos!W18)/Datos!W18," - ")</f>
        <v>-0.10294117647058823</v>
      </c>
      <c r="I18" s="395">
        <f>IF(ISNUMBER((Tasas!C18-Datos!BE18)/Datos!BE18),(Tasas!C18-Datos!BE18)/Datos!BE18," - ")</f>
        <v>0.68185763888888895</v>
      </c>
      <c r="J18" s="394">
        <f>IF(ISNUMBER((Tasas!D18-Datos!BF18)/Datos!BF18),(Tasas!D18-Datos!BF18)/Datos!BF18," - ")</f>
        <v>-0.12396599264705889</v>
      </c>
      <c r="K18" s="396">
        <f>IF(ISNUMBER((Tasas!E18-Datos!BG18)/Datos!BG18),(Tasas!E18-Datos!BG18)/Datos!BG18," - ")</f>
        <v>0.21247366573033713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2.8800000000000002E-3</v>
      </c>
      <c r="E23" s="399">
        <f>IF(ISNUMBER(
   IF(D_I="SI",(Datos!J23-Datos!T23)/Datos!T23,(Datos!J23+Datos!AD23-(Datos!T23+Datos!AL23))/(Datos!T23+Datos!AL23))
     ),IF(D_I="SI",(Datos!J23-Datos!T23)/Datos!T23,(Datos!J23+Datos!AD23-(Datos!T23+Datos!AL23))/(Datos!T23+Datos!AL23))," - ")</f>
        <v>4.3205574912891988E-2</v>
      </c>
      <c r="F23" s="399">
        <f>IF(ISNUMBER(
   IF(D_I="SI",(Datos!K23-Datos!U23)/Datos!U23,(Datos!K23+Datos!AE23-(Datos!U23+Datos!AM23))/(Datos!U23+Datos!AM23))
     ),IF(D_I="SI",(Datos!K23-Datos!U23)/Datos!U23,(Datos!K23+Datos!AE23-(Datos!U23+Datos!AM23))/(Datos!U23+Datos!AM23))," - ")</f>
        <v>0.10552763819095477</v>
      </c>
      <c r="G23" s="400">
        <f>IF(ISNUMBER(
   IF(D_I="SI",(Datos!L23-Datos!V23)/Datos!V23,(Datos!L23+Datos!AF23-(Datos!V23+Datos!AN23))/(Datos!V23+Datos!AN23))
     ),IF(D_I="SI",(Datos!L23-Datos!V23)/Datos!V23,(Datos!L23+Datos!AF23-(Datos!V23+Datos!AN23))/(Datos!V23+Datos!AN23))," - ")</f>
        <v>-5.1058530510585308E-2</v>
      </c>
      <c r="H23" s="401">
        <f>IF(ISNUMBER((Datos!M23-Datos!W23)/Datos!W23),(Datos!M23-Datos!W23)/Datos!W23," - ")</f>
        <v>0.17681159420289855</v>
      </c>
      <c r="I23" s="402">
        <f>IF(ISNUMBER((Tasas!C23-Datos!BE23)/Datos!BE23),(Tasas!C23-Datos!BE23)/Datos!BE23," - ")</f>
        <v>-0.14163930714366579</v>
      </c>
      <c r="J23" s="400">
        <f>IF(ISNUMBER((Tasas!D23-Datos!BF23)/Datos!BF23),(Tasas!D23-Datos!BF23)/Datos!BF23," - ")</f>
        <v>6.4479578392621792E-2</v>
      </c>
      <c r="K23" s="403">
        <f>IF(ISNUMBER((Tasas!E23-Datos!BG23)/Datos!BG23),(Tasas!E23-Datos!BG23)/Datos!BG23," - ")</f>
        <v>-7.5387064978391122E-2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0.14763721749339595</v>
      </c>
      <c r="E31" s="409">
        <f>IF(ISNUMBER(
   IF(J_V="SI",(Datos!J31-Datos!T31)/Datos!T31,(Datos!J31+Datos!Z31-(Datos!T31+Datos!AH31))/(Datos!T31+Datos!AH31))
     ),IF(J_V="SI",(Datos!J31-Datos!T31)/Datos!T31,(Datos!J31+Datos!Z31-(Datos!T31+Datos!AH31))/(Datos!T31+Datos!AH31))," - ")</f>
        <v>0.1167129813418023</v>
      </c>
      <c r="F31" s="409">
        <f>IF(ISNUMBER(
   IF(J_V="SI",(Datos!K31-Datos!U31)/Datos!U31,(Datos!K31+Datos!AA31-(Datos!U31+Datos!AI31))/(Datos!U31+Datos!AI31))
     ),IF(J_V="SI",(Datos!K31-Datos!U31)/Datos!U31,(Datos!K31+Datos!AA31-(Datos!U31+Datos!AI31))/(Datos!U31+Datos!AI31))," - ")</f>
        <v>0.26302195436935</v>
      </c>
      <c r="G31" s="410">
        <f>IF(ISNUMBER(
   IF(J_V="SI",(Datos!L31-Datos!V31)/Datos!V31,(Datos!L31+Datos!AB31-(Datos!V31+Datos!AJ31))/(Datos!V31+Datos!AJ31))
     ),IF(J_V="SI",(Datos!L31-Datos!V31)/Datos!V31,(Datos!L31+Datos!AB31-(Datos!V31+Datos!AJ31))/(Datos!V31+Datos!AJ31))," - ")</f>
        <v>8.2140165787490574E-2</v>
      </c>
      <c r="H31" s="411">
        <f>IF(ISNUMBER((Datos!M31-Datos!W31)/Datos!W31),(Datos!M31-Datos!W31)/Datos!W31," - ")</f>
        <v>0.14323962516733602</v>
      </c>
      <c r="I31" s="408">
        <f>IF(ISNUMBER((Tasas!C31-Datos!BE31)/Datos!BE31),(Tasas!C31-Datos!BE31)/Datos!BE31," - ")</f>
        <v>-0.14321349518597801</v>
      </c>
      <c r="J31" s="409">
        <f>IF(ISNUMBER((Tasas!D31-Datos!BF31)/Datos!BF31),(Tasas!D31-Datos!BF31)/Datos!BF31," - ")</f>
        <v>-0.40740043743544069</v>
      </c>
      <c r="K31" s="410">
        <f>IF(ISNUMBER((Tasas!E31-Datos!BG31)/Datos!BG31),(Tasas!E31-Datos!BG31)/Datos!BG31," - ")</f>
        <v>-9.9439967553204126E-2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0.26238632909453025</v>
      </c>
      <c r="E33" s="303">
        <f t="shared" si="1"/>
        <v>0.13943867103455268</v>
      </c>
      <c r="F33" s="303">
        <f t="shared" si="1"/>
        <v>0.49675964406484069</v>
      </c>
      <c r="G33" s="304">
        <f t="shared" si="1"/>
        <v>0.37564091254421728</v>
      </c>
      <c r="H33" s="310">
        <f t="shared" si="1"/>
        <v>0.12556991197436779</v>
      </c>
      <c r="I33" s="302">
        <f t="shared" si="1"/>
        <v>0.36869774590092913</v>
      </c>
      <c r="J33" s="303">
        <f t="shared" si="1"/>
        <v>0.34654507882982377</v>
      </c>
      <c r="K33" s="304">
        <f t="shared" si="1"/>
        <v>0.15968007470423601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VxiBvq+s7MGObhOQygmZ7enaqCz+qdn68R5UDWFC4FvHaZybPDc1BRUbiBiOw5KCUK4ews4Bof1dvOGckkbLg==" saltValue="5/UqIp7biP95LLHuvV6+w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